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queryTables/queryTable2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bbagrar-my.sharepoint.com/personal/christian_koetter_lbb-agrar_de/Documents/Datenaustausch/Downloads RS/"/>
    </mc:Choice>
  </mc:AlternateContent>
  <xr:revisionPtr revIDLastSave="30" documentId="8_{06F9E0FA-05B9-42FB-BDF4-E6ADE1FB45C3}" xr6:coauthVersionLast="47" xr6:coauthVersionMax="47" xr10:uidLastSave="{AA27ECFE-D40C-4282-808F-711A1F385331}"/>
  <workbookProtection workbookAlgorithmName="SHA-512" workbookHashValue="Rmtb7SV8cBQKQTKVLlq0x8JlyounOF9ycAwgsb2QTZZj3iT5bRPDb+ZlNPkevdOhMV17r5BOx5IOYzmmSRv5VA==" workbookSaltValue="zfzz+BjWxoIDbPQCQDnjUQ==" workbookSpinCount="100000" lockStructure="1"/>
  <bookViews>
    <workbookView xWindow="-28920" yWindow="8130" windowWidth="29040" windowHeight="15720" xr2:uid="{CF7D48D2-8155-4778-AC16-F4AAB2C5EB17}"/>
  </bookViews>
  <sheets>
    <sheet name="Düngemittelpreise" sheetId="1" r:id="rId1"/>
    <sheet name="Preisabruf1" sheetId="10" state="hidden" r:id="rId2"/>
    <sheet name="Preisabruf" sheetId="13" state="hidden" r:id="rId3"/>
    <sheet name="Düngemittel" sheetId="3" state="hidden" r:id="rId4"/>
    <sheet name="Preis frei Pflanze" sheetId="2" state="hidden" r:id="rId5"/>
    <sheet name="NährstofBedarf" sheetId="4" state="hidden" r:id="rId6"/>
    <sheet name="Kosten Technik" sheetId="5" state="hidden" r:id="rId7"/>
    <sheet name="NährstofAbfuhr" sheetId="6" state="hidden" r:id="rId8"/>
    <sheet name="Kalk-Tech" sheetId="8" state="hidden" r:id="rId9"/>
  </sheets>
  <definedNames>
    <definedName name="_xlnm._FilterDatabase" localSheetId="0" hidden="1">Düngemittelpreise!$U$9:$U$70</definedName>
    <definedName name="_xlnm.Print_Area" localSheetId="3">Düngemittel!$A$1:$J$157</definedName>
    <definedName name="_xlnm.Print_Area" localSheetId="0">Düngemittelpreise!$A$1:$S$98</definedName>
    <definedName name="_xlnm.Print_Area" localSheetId="8">'Kalk-Tech'!$A$1:$V$22</definedName>
    <definedName name="_xlnm.Print_Area" localSheetId="6">'Kosten Technik'!$A$1:$F$40</definedName>
    <definedName name="_xlnm.Print_Area" localSheetId="7">NährstofAbfuhr!$A$1:$J$74</definedName>
    <definedName name="_xlnm.Print_Area" localSheetId="5">NährstofBedarf!$A$1:$J$91</definedName>
    <definedName name="_xlnm.Print_Area" localSheetId="4">'Preis frei Pflanze'!$A$1:$K$364</definedName>
    <definedName name="_xlnm.Print_Titles" localSheetId="3">Düngemittel!$1:$2</definedName>
    <definedName name="_xlnm.Print_Titles" localSheetId="0">Düngemittelpreise!$1:$2</definedName>
    <definedName name="_xlnm.Print_Titles" localSheetId="5">NährstofBedarf!$1:$3</definedName>
    <definedName name="_xlnm.Print_Titles" localSheetId="4">'Preis frei Pflanze'!$2:$4</definedName>
    <definedName name="ExterneDaten_1" localSheetId="2" hidden="1">Preisabruf!$A$1:$C$22</definedName>
    <definedName name="ExterneDaten_2" localSheetId="1" hidden="1">Preisabruf1!$A$1:$C$20</definedName>
    <definedName name="wrn.Teildruck." hidden="1">{#N/A,#N/A,TRUE,"Düngemittelpreise";#N/A,#N/A,TRUE,"Preis frei Pflanze";#N/A,#N/A,TRUE,"Düngemittel"}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" i="13" l="1"/>
  <c r="D6" i="13"/>
  <c r="E6" i="13"/>
  <c r="G6" i="13" s="1"/>
  <c r="F6" i="13"/>
  <c r="D7" i="13"/>
  <c r="E7" i="13"/>
  <c r="F7" i="13"/>
  <c r="D8" i="13"/>
  <c r="E8" i="13"/>
  <c r="F8" i="13"/>
  <c r="D9" i="13"/>
  <c r="E9" i="13"/>
  <c r="F9" i="13"/>
  <c r="D10" i="13"/>
  <c r="E10" i="13"/>
  <c r="F10" i="13"/>
  <c r="D11" i="13"/>
  <c r="E11" i="13"/>
  <c r="F11" i="13"/>
  <c r="D12" i="13"/>
  <c r="E12" i="13"/>
  <c r="F12" i="13"/>
  <c r="D13" i="13"/>
  <c r="E13" i="13"/>
  <c r="F13" i="13"/>
  <c r="D14" i="13"/>
  <c r="E14" i="13"/>
  <c r="F14" i="13"/>
  <c r="D15" i="13"/>
  <c r="E15" i="13"/>
  <c r="F15" i="13"/>
  <c r="D16" i="13"/>
  <c r="E16" i="13"/>
  <c r="F16" i="13"/>
  <c r="D17" i="13"/>
  <c r="E17" i="13"/>
  <c r="F17" i="13"/>
  <c r="D18" i="13"/>
  <c r="E18" i="13"/>
  <c r="F18" i="13"/>
  <c r="D19" i="13"/>
  <c r="E19" i="13"/>
  <c r="F19" i="13"/>
  <c r="D20" i="13"/>
  <c r="E20" i="13"/>
  <c r="F20" i="13"/>
  <c r="D21" i="13"/>
  <c r="E21" i="13"/>
  <c r="F21" i="13"/>
  <c r="D22" i="13"/>
  <c r="E22" i="13"/>
  <c r="F22" i="13"/>
  <c r="F5" i="13"/>
  <c r="D5" i="13"/>
  <c r="D4" i="10"/>
  <c r="E4" i="10"/>
  <c r="F4" i="10"/>
  <c r="D5" i="10"/>
  <c r="E5" i="10"/>
  <c r="F5" i="10"/>
  <c r="D6" i="10"/>
  <c r="E6" i="10"/>
  <c r="F6" i="10"/>
  <c r="D7" i="10"/>
  <c r="E7" i="10"/>
  <c r="F7" i="10"/>
  <c r="D8" i="10"/>
  <c r="E8" i="10"/>
  <c r="F8" i="10"/>
  <c r="D9" i="10"/>
  <c r="E9" i="10"/>
  <c r="F9" i="10"/>
  <c r="D10" i="10"/>
  <c r="E10" i="10"/>
  <c r="F10" i="10"/>
  <c r="D11" i="10"/>
  <c r="E11" i="10"/>
  <c r="F11" i="10"/>
  <c r="D12" i="10"/>
  <c r="E12" i="10"/>
  <c r="F12" i="10"/>
  <c r="D13" i="10"/>
  <c r="E13" i="10"/>
  <c r="F13" i="10"/>
  <c r="D14" i="10"/>
  <c r="E14" i="10"/>
  <c r="F14" i="10"/>
  <c r="D15" i="10"/>
  <c r="E15" i="10"/>
  <c r="F15" i="10"/>
  <c r="D16" i="10"/>
  <c r="E16" i="10"/>
  <c r="F16" i="10"/>
  <c r="D17" i="10"/>
  <c r="E17" i="10"/>
  <c r="F17" i="10"/>
  <c r="D18" i="10"/>
  <c r="E18" i="10"/>
  <c r="F18" i="10"/>
  <c r="D19" i="10"/>
  <c r="E19" i="10"/>
  <c r="F19" i="10"/>
  <c r="D20" i="10"/>
  <c r="E20" i="10"/>
  <c r="F20" i="10"/>
  <c r="F3" i="10"/>
  <c r="E3" i="10"/>
  <c r="D3" i="10"/>
  <c r="A19" i="1"/>
  <c r="A18" i="1"/>
  <c r="A17" i="1"/>
  <c r="A15" i="1"/>
  <c r="U67" i="1"/>
  <c r="U66" i="1"/>
  <c r="E1" i="10"/>
  <c r="H13" i="1"/>
  <c r="G13" i="13" l="1"/>
  <c r="G14" i="13"/>
  <c r="G22" i="13"/>
  <c r="G11" i="13"/>
  <c r="G5" i="13"/>
  <c r="G21" i="13"/>
  <c r="G12" i="13"/>
  <c r="G15" i="13"/>
  <c r="G7" i="13"/>
  <c r="G16" i="13"/>
  <c r="G8" i="13"/>
  <c r="G19" i="13"/>
  <c r="G20" i="13"/>
  <c r="G18" i="13"/>
  <c r="G10" i="13"/>
  <c r="G9" i="13"/>
  <c r="G17" i="13"/>
  <c r="G19" i="10"/>
  <c r="G4" i="10"/>
  <c r="G17" i="10"/>
  <c r="G9" i="10"/>
  <c r="G7" i="10"/>
  <c r="G5" i="10"/>
  <c r="G8" i="10"/>
  <c r="G20" i="10"/>
  <c r="G15" i="10"/>
  <c r="G13" i="10"/>
  <c r="G18" i="10"/>
  <c r="G11" i="10"/>
  <c r="G12" i="10"/>
  <c r="G16" i="10"/>
  <c r="G14" i="10"/>
  <c r="G10" i="10"/>
  <c r="G6" i="10"/>
  <c r="G3" i="10"/>
  <c r="A4" i="3" l="1"/>
  <c r="A5" i="3" s="1"/>
  <c r="A6" i="3" s="1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A88" i="3" s="1"/>
  <c r="A89" i="3" s="1"/>
  <c r="A90" i="3" s="1"/>
  <c r="A91" i="3" s="1"/>
  <c r="A92" i="3" s="1"/>
  <c r="A93" i="3" s="1"/>
  <c r="A94" i="3" s="1"/>
  <c r="A95" i="3" s="1"/>
  <c r="A96" i="3" s="1"/>
  <c r="A97" i="3" s="1"/>
  <c r="A98" i="3" s="1"/>
  <c r="A99" i="3" s="1"/>
  <c r="A100" i="3" s="1"/>
  <c r="A101" i="3" s="1"/>
  <c r="A102" i="3" s="1"/>
  <c r="A103" i="3" s="1"/>
  <c r="A104" i="3" s="1"/>
  <c r="A105" i="3" s="1"/>
  <c r="A106" i="3" s="1"/>
  <c r="A107" i="3" s="1"/>
  <c r="A108" i="3" s="1"/>
  <c r="A109" i="3" s="1"/>
  <c r="A110" i="3" s="1"/>
  <c r="A111" i="3" s="1"/>
  <c r="A112" i="3" s="1"/>
  <c r="A113" i="3" s="1"/>
  <c r="A114" i="3" s="1"/>
  <c r="A115" i="3" s="1"/>
  <c r="A116" i="3" s="1"/>
  <c r="A117" i="3" s="1"/>
  <c r="A118" i="3" s="1"/>
  <c r="A119" i="3" s="1"/>
  <c r="A120" i="3" s="1"/>
  <c r="A121" i="3" s="1"/>
  <c r="A122" i="3" s="1"/>
  <c r="A123" i="3" s="1"/>
  <c r="A124" i="3" s="1"/>
  <c r="A125" i="3" s="1"/>
  <c r="A126" i="3" s="1"/>
  <c r="A127" i="3" s="1"/>
  <c r="A128" i="3" s="1"/>
  <c r="A129" i="3" s="1"/>
  <c r="G146" i="3"/>
  <c r="G144" i="3"/>
  <c r="G143" i="3"/>
  <c r="G135" i="3"/>
  <c r="G134" i="3"/>
  <c r="G133" i="3"/>
  <c r="G132" i="3"/>
  <c r="G131" i="3"/>
  <c r="G130" i="3"/>
  <c r="G129" i="3"/>
  <c r="C133" i="3"/>
  <c r="J1" i="3"/>
  <c r="Q1" i="1"/>
  <c r="H22" i="8"/>
  <c r="I22" i="8" s="1"/>
  <c r="N22" i="8" s="1"/>
  <c r="O22" i="8" s="1"/>
  <c r="H15" i="8"/>
  <c r="A7" i="8"/>
  <c r="A8" i="8" s="1"/>
  <c r="A10" i="8" s="1"/>
  <c r="A11" i="8" s="1"/>
  <c r="A12" i="8" s="1"/>
  <c r="A13" i="8" s="1"/>
  <c r="A14" i="8" s="1"/>
  <c r="A15" i="8" s="1"/>
  <c r="A17" i="8" s="1"/>
  <c r="A18" i="8" s="1"/>
  <c r="A19" i="8" s="1"/>
  <c r="A20" i="8" s="1"/>
  <c r="A21" i="8" s="1"/>
  <c r="A22" i="8" s="1"/>
  <c r="S22" i="8"/>
  <c r="K22" i="8"/>
  <c r="M22" i="8"/>
  <c r="S21" i="8"/>
  <c r="H21" i="8"/>
  <c r="I21" i="8" s="1"/>
  <c r="K21" i="8"/>
  <c r="M21" i="8"/>
  <c r="S20" i="8"/>
  <c r="H20" i="8"/>
  <c r="I20" i="8" s="1"/>
  <c r="K20" i="8"/>
  <c r="M20" i="8"/>
  <c r="S19" i="8"/>
  <c r="H19" i="8"/>
  <c r="I19" i="8" s="1"/>
  <c r="K19" i="8"/>
  <c r="M19" i="8"/>
  <c r="S18" i="8"/>
  <c r="H18" i="8"/>
  <c r="I18" i="8" s="1"/>
  <c r="K18" i="8"/>
  <c r="M18" i="8"/>
  <c r="S15" i="8"/>
  <c r="I15" i="8"/>
  <c r="K15" i="8"/>
  <c r="M15" i="8"/>
  <c r="S14" i="8"/>
  <c r="H14" i="8"/>
  <c r="I14" i="8" s="1"/>
  <c r="K14" i="8"/>
  <c r="M14" i="8"/>
  <c r="S13" i="8"/>
  <c r="H13" i="8"/>
  <c r="I13" i="8" s="1"/>
  <c r="K13" i="8"/>
  <c r="M13" i="8"/>
  <c r="S12" i="8"/>
  <c r="H12" i="8"/>
  <c r="I12" i="8"/>
  <c r="N12" i="8" s="1"/>
  <c r="O12" i="8" s="1"/>
  <c r="V12" i="8" s="1"/>
  <c r="K12" i="8"/>
  <c r="M12" i="8"/>
  <c r="S11" i="8"/>
  <c r="H11" i="8"/>
  <c r="I11" i="8" s="1"/>
  <c r="N11" i="8" s="1"/>
  <c r="O11" i="8" s="1"/>
  <c r="V11" i="8" s="1"/>
  <c r="K11" i="8"/>
  <c r="M11" i="8"/>
  <c r="E1" i="5"/>
  <c r="I42" i="6"/>
  <c r="I1" i="6"/>
  <c r="G51" i="6"/>
  <c r="G52" i="6"/>
  <c r="J1" i="4"/>
  <c r="A14" i="4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330" i="2"/>
  <c r="D330" i="2"/>
  <c r="F330" i="2"/>
  <c r="A331" i="2"/>
  <c r="F331" i="2" s="1"/>
  <c r="D331" i="2"/>
  <c r="A332" i="2"/>
  <c r="E332" i="2" s="1"/>
  <c r="D332" i="2"/>
  <c r="A333" i="2"/>
  <c r="F333" i="2" s="1"/>
  <c r="D333" i="2"/>
  <c r="A334" i="2"/>
  <c r="F334" i="2" s="1"/>
  <c r="D334" i="2"/>
  <c r="A335" i="2"/>
  <c r="D335" i="2"/>
  <c r="A336" i="2"/>
  <c r="B336" i="2" s="1"/>
  <c r="D336" i="2"/>
  <c r="A337" i="2"/>
  <c r="F337" i="2" s="1"/>
  <c r="A338" i="2"/>
  <c r="A339" i="2"/>
  <c r="F339" i="2" s="1"/>
  <c r="A340" i="2"/>
  <c r="F340" i="2" s="1"/>
  <c r="A341" i="2"/>
  <c r="D341" i="2"/>
  <c r="C330" i="2"/>
  <c r="C331" i="2"/>
  <c r="C332" i="2"/>
  <c r="C333" i="2"/>
  <c r="C334" i="2"/>
  <c r="C335" i="2"/>
  <c r="C336" i="2"/>
  <c r="C337" i="2"/>
  <c r="C342" i="2" s="1"/>
  <c r="C338" i="2"/>
  <c r="C339" i="2"/>
  <c r="C340" i="2"/>
  <c r="C341" i="2"/>
  <c r="G16" i="2"/>
  <c r="G17" i="2"/>
  <c r="G18" i="2"/>
  <c r="G19" i="2"/>
  <c r="C21" i="2"/>
  <c r="G330" i="2"/>
  <c r="G331" i="2"/>
  <c r="G339" i="2"/>
  <c r="G340" i="2"/>
  <c r="J293" i="2"/>
  <c r="J294" i="2"/>
  <c r="J296" i="2"/>
  <c r="F301" i="2"/>
  <c r="G301" i="2" s="1"/>
  <c r="J301" i="2"/>
  <c r="G305" i="2"/>
  <c r="J305" i="2"/>
  <c r="F306" i="2"/>
  <c r="G306" i="2" s="1"/>
  <c r="J306" i="2" s="1"/>
  <c r="F311" i="2"/>
  <c r="C297" i="2"/>
  <c r="H311" i="2" s="1"/>
  <c r="F315" i="2"/>
  <c r="H315" i="2"/>
  <c r="F316" i="2"/>
  <c r="H316" i="2"/>
  <c r="J256" i="2"/>
  <c r="J257" i="2"/>
  <c r="F264" i="2"/>
  <c r="G264" i="2" s="1"/>
  <c r="J264" i="2" s="1"/>
  <c r="F266" i="2"/>
  <c r="G266" i="2" s="1"/>
  <c r="J266" i="2" s="1"/>
  <c r="F269" i="2"/>
  <c r="G269" i="2"/>
  <c r="J269" i="2" s="1"/>
  <c r="F274" i="2"/>
  <c r="C260" i="2"/>
  <c r="H274" i="2" s="1"/>
  <c r="F278" i="2"/>
  <c r="J278" i="2" s="1"/>
  <c r="H278" i="2"/>
  <c r="F279" i="2"/>
  <c r="H279" i="2"/>
  <c r="F229" i="2"/>
  <c r="G229" i="2" s="1"/>
  <c r="J229" i="2" s="1"/>
  <c r="F231" i="2"/>
  <c r="G231" i="2" s="1"/>
  <c r="J231" i="2" s="1"/>
  <c r="F234" i="2"/>
  <c r="G234" i="2" s="1"/>
  <c r="J234" i="2" s="1"/>
  <c r="F239" i="2"/>
  <c r="C225" i="2"/>
  <c r="H239" i="2" s="1"/>
  <c r="F243" i="2"/>
  <c r="H243" i="2"/>
  <c r="F244" i="2"/>
  <c r="H244" i="2"/>
  <c r="C180" i="2"/>
  <c r="C181" i="2"/>
  <c r="C182" i="2"/>
  <c r="H206" i="2" s="1"/>
  <c r="J184" i="2"/>
  <c r="J185" i="2"/>
  <c r="C186" i="2"/>
  <c r="F192" i="2"/>
  <c r="G192" i="2" s="1"/>
  <c r="J192" i="2" s="1"/>
  <c r="F194" i="2"/>
  <c r="G194" i="2" s="1"/>
  <c r="J194" i="2" s="1"/>
  <c r="F197" i="2"/>
  <c r="G197" i="2" s="1"/>
  <c r="J197" i="2" s="1"/>
  <c r="F202" i="2"/>
  <c r="F206" i="2"/>
  <c r="F207" i="2"/>
  <c r="H207" i="2"/>
  <c r="J149" i="2"/>
  <c r="J150" i="2"/>
  <c r="F157" i="2"/>
  <c r="G157" i="2" s="1"/>
  <c r="J157" i="2" s="1"/>
  <c r="F159" i="2"/>
  <c r="G159" i="2" s="1"/>
  <c r="J159" i="2" s="1"/>
  <c r="F162" i="2"/>
  <c r="G162" i="2" s="1"/>
  <c r="J162" i="2" s="1"/>
  <c r="F167" i="2"/>
  <c r="C153" i="2"/>
  <c r="H167" i="2" s="1"/>
  <c r="J167" i="2" s="1"/>
  <c r="J168" i="2" s="1"/>
  <c r="G359" i="2" s="1"/>
  <c r="F171" i="2"/>
  <c r="J171" i="2" s="1"/>
  <c r="H171" i="2"/>
  <c r="F172" i="2"/>
  <c r="H172" i="2"/>
  <c r="J112" i="2"/>
  <c r="J113" i="2"/>
  <c r="F120" i="2"/>
  <c r="G120" i="2"/>
  <c r="J120" i="2" s="1"/>
  <c r="F122" i="2"/>
  <c r="G122" i="2" s="1"/>
  <c r="J122" i="2" s="1"/>
  <c r="F125" i="2"/>
  <c r="G125" i="2" s="1"/>
  <c r="J125" i="2" s="1"/>
  <c r="F130" i="2"/>
  <c r="C116" i="2"/>
  <c r="H130" i="2" s="1"/>
  <c r="F134" i="2"/>
  <c r="J134" i="2" s="1"/>
  <c r="H134" i="2"/>
  <c r="F135" i="2"/>
  <c r="H135" i="2"/>
  <c r="F85" i="2"/>
  <c r="G85" i="2" s="1"/>
  <c r="J85" i="2" s="1"/>
  <c r="F87" i="2"/>
  <c r="G87" i="2" s="1"/>
  <c r="J87" i="2" s="1"/>
  <c r="F90" i="2"/>
  <c r="G90" i="2" s="1"/>
  <c r="J90" i="2" s="1"/>
  <c r="J77" i="2"/>
  <c r="J78" i="2"/>
  <c r="F94" i="2"/>
  <c r="J94" i="2" s="1"/>
  <c r="H94" i="2"/>
  <c r="F95" i="2"/>
  <c r="C81" i="2"/>
  <c r="H95" i="2" s="1"/>
  <c r="F99" i="2"/>
  <c r="H99" i="2"/>
  <c r="J99" i="2" s="1"/>
  <c r="J101" i="2" s="1"/>
  <c r="H357" i="2" s="1"/>
  <c r="F100" i="2"/>
  <c r="J100" i="2" s="1"/>
  <c r="H100" i="2"/>
  <c r="F158" i="2"/>
  <c r="G158" i="2" s="1"/>
  <c r="F193" i="2"/>
  <c r="G193" i="2" s="1"/>
  <c r="F230" i="2"/>
  <c r="G230" i="2" s="1"/>
  <c r="B230" i="2"/>
  <c r="F302" i="2"/>
  <c r="G302" i="2" s="1"/>
  <c r="F48" i="2"/>
  <c r="G48" i="2" s="1"/>
  <c r="C44" i="2"/>
  <c r="H58" i="2" s="1"/>
  <c r="F52" i="2"/>
  <c r="G52" i="2" s="1"/>
  <c r="J52" i="2" s="1"/>
  <c r="J40" i="2"/>
  <c r="J41" i="2"/>
  <c r="J48" i="2"/>
  <c r="F49" i="2"/>
  <c r="G49" i="2" s="1"/>
  <c r="F53" i="2"/>
  <c r="G53" i="2" s="1"/>
  <c r="J53" i="2" s="1"/>
  <c r="F58" i="2"/>
  <c r="J58" i="2" s="1"/>
  <c r="J59" i="2" s="1"/>
  <c r="F62" i="2"/>
  <c r="H62" i="2"/>
  <c r="J62" i="2" s="1"/>
  <c r="F63" i="2"/>
  <c r="H63" i="2"/>
  <c r="J63" i="2" s="1"/>
  <c r="B41" i="2"/>
  <c r="B40" i="2"/>
  <c r="B296" i="2"/>
  <c r="B294" i="2"/>
  <c r="B293" i="2"/>
  <c r="B257" i="2"/>
  <c r="B256" i="2"/>
  <c r="F310" i="2"/>
  <c r="F273" i="2"/>
  <c r="F201" i="2"/>
  <c r="F265" i="2"/>
  <c r="F166" i="2"/>
  <c r="F121" i="2"/>
  <c r="F86" i="2"/>
  <c r="F50" i="2"/>
  <c r="G50" i="2" s="1"/>
  <c r="F57" i="2"/>
  <c r="E85" i="2"/>
  <c r="E330" i="2"/>
  <c r="E331" i="2"/>
  <c r="E333" i="2"/>
  <c r="E336" i="2"/>
  <c r="E337" i="2"/>
  <c r="E340" i="2"/>
  <c r="D340" i="2"/>
  <c r="B340" i="2"/>
  <c r="D339" i="2"/>
  <c r="D338" i="2"/>
  <c r="B338" i="2"/>
  <c r="D337" i="2"/>
  <c r="B337" i="2"/>
  <c r="E311" i="2"/>
  <c r="B311" i="2"/>
  <c r="E310" i="2"/>
  <c r="B310" i="2"/>
  <c r="F305" i="2"/>
  <c r="E305" i="2"/>
  <c r="B305" i="2"/>
  <c r="F304" i="2"/>
  <c r="E304" i="2"/>
  <c r="B304" i="2"/>
  <c r="F303" i="2"/>
  <c r="E303" i="2"/>
  <c r="B303" i="2"/>
  <c r="E274" i="2"/>
  <c r="B274" i="2"/>
  <c r="E273" i="2"/>
  <c r="B273" i="2"/>
  <c r="F268" i="2"/>
  <c r="G268" i="2" s="1"/>
  <c r="E268" i="2"/>
  <c r="B268" i="2"/>
  <c r="F267" i="2"/>
  <c r="G267" i="2" s="1"/>
  <c r="E267" i="2"/>
  <c r="B267" i="2"/>
  <c r="E266" i="2"/>
  <c r="B266" i="2"/>
  <c r="E265" i="2"/>
  <c r="B265" i="2"/>
  <c r="E239" i="2"/>
  <c r="B239" i="2"/>
  <c r="F238" i="2"/>
  <c r="E238" i="2"/>
  <c r="B238" i="2"/>
  <c r="F233" i="2"/>
  <c r="E233" i="2"/>
  <c r="B233" i="2"/>
  <c r="F232" i="2"/>
  <c r="E232" i="2"/>
  <c r="B232" i="2"/>
  <c r="E231" i="2"/>
  <c r="B231" i="2"/>
  <c r="E202" i="2"/>
  <c r="B202" i="2"/>
  <c r="E201" i="2"/>
  <c r="B201" i="2"/>
  <c r="F196" i="2"/>
  <c r="E196" i="2"/>
  <c r="B196" i="2"/>
  <c r="F195" i="2"/>
  <c r="E195" i="2"/>
  <c r="B195" i="2"/>
  <c r="E194" i="2"/>
  <c r="B194" i="2"/>
  <c r="E167" i="2"/>
  <c r="B167" i="2"/>
  <c r="E166" i="2"/>
  <c r="B166" i="2"/>
  <c r="F161" i="2"/>
  <c r="E161" i="2"/>
  <c r="B161" i="2"/>
  <c r="F160" i="2"/>
  <c r="E160" i="2"/>
  <c r="B160" i="2"/>
  <c r="E159" i="2"/>
  <c r="B159" i="2"/>
  <c r="F123" i="2"/>
  <c r="E123" i="2"/>
  <c r="B123" i="2"/>
  <c r="E122" i="2"/>
  <c r="B122" i="2"/>
  <c r="B129" i="2"/>
  <c r="F129" i="2"/>
  <c r="E129" i="2"/>
  <c r="F89" i="2"/>
  <c r="E89" i="2"/>
  <c r="B89" i="2"/>
  <c r="F88" i="2"/>
  <c r="E88" i="2"/>
  <c r="B88" i="2"/>
  <c r="E87" i="2"/>
  <c r="B87" i="2"/>
  <c r="B90" i="2"/>
  <c r="E90" i="2"/>
  <c r="F51" i="2"/>
  <c r="G51" i="2" s="1"/>
  <c r="E51" i="2"/>
  <c r="B51" i="2"/>
  <c r="E50" i="2"/>
  <c r="B50" i="2"/>
  <c r="J16" i="2"/>
  <c r="J17" i="2"/>
  <c r="J18" i="2"/>
  <c r="J19" i="2"/>
  <c r="I16" i="2"/>
  <c r="I17" i="2"/>
  <c r="I18" i="2"/>
  <c r="I19" i="2"/>
  <c r="H16" i="2"/>
  <c r="H17" i="2"/>
  <c r="H18" i="2"/>
  <c r="H19" i="2"/>
  <c r="F16" i="2"/>
  <c r="F17" i="2"/>
  <c r="F18" i="2"/>
  <c r="F19" i="2"/>
  <c r="E16" i="2"/>
  <c r="E17" i="2"/>
  <c r="E18" i="2"/>
  <c r="E19" i="2"/>
  <c r="B18" i="2"/>
  <c r="B17" i="2"/>
  <c r="B16" i="2"/>
  <c r="I296" i="2"/>
  <c r="H296" i="2"/>
  <c r="G296" i="2"/>
  <c r="F296" i="2"/>
  <c r="E296" i="2"/>
  <c r="D296" i="2"/>
  <c r="I294" i="2"/>
  <c r="H294" i="2"/>
  <c r="G294" i="2"/>
  <c r="F294" i="2"/>
  <c r="E294" i="2"/>
  <c r="D294" i="2"/>
  <c r="I293" i="2"/>
  <c r="H293" i="2"/>
  <c r="G293" i="2"/>
  <c r="F293" i="2"/>
  <c r="E293" i="2"/>
  <c r="D293" i="2"/>
  <c r="I257" i="2"/>
  <c r="H257" i="2"/>
  <c r="G257" i="2"/>
  <c r="F257" i="2"/>
  <c r="E257" i="2"/>
  <c r="D257" i="2"/>
  <c r="I256" i="2"/>
  <c r="H256" i="2"/>
  <c r="G256" i="2"/>
  <c r="F256" i="2"/>
  <c r="E256" i="2"/>
  <c r="D256" i="2"/>
  <c r="I185" i="2"/>
  <c r="H185" i="2"/>
  <c r="G185" i="2"/>
  <c r="F185" i="2"/>
  <c r="E185" i="2"/>
  <c r="D185" i="2"/>
  <c r="I184" i="2"/>
  <c r="H184" i="2"/>
  <c r="G184" i="2"/>
  <c r="F184" i="2"/>
  <c r="E184" i="2"/>
  <c r="D184" i="2"/>
  <c r="I150" i="2"/>
  <c r="H150" i="2"/>
  <c r="G150" i="2"/>
  <c r="F150" i="2"/>
  <c r="E150" i="2"/>
  <c r="D150" i="2"/>
  <c r="I149" i="2"/>
  <c r="H149" i="2"/>
  <c r="G149" i="2"/>
  <c r="F149" i="2"/>
  <c r="E149" i="2"/>
  <c r="D149" i="2"/>
  <c r="I113" i="2"/>
  <c r="H113" i="2"/>
  <c r="G113" i="2"/>
  <c r="F113" i="2"/>
  <c r="E113" i="2"/>
  <c r="D113" i="2"/>
  <c r="I112" i="2"/>
  <c r="H112" i="2"/>
  <c r="G112" i="2"/>
  <c r="F112" i="2"/>
  <c r="E112" i="2"/>
  <c r="D112" i="2"/>
  <c r="B185" i="2"/>
  <c r="B184" i="2"/>
  <c r="B150" i="2"/>
  <c r="B149" i="2"/>
  <c r="B113" i="2"/>
  <c r="B112" i="2"/>
  <c r="I78" i="2"/>
  <c r="H78" i="2"/>
  <c r="G78" i="2"/>
  <c r="F78" i="2"/>
  <c r="E78" i="2"/>
  <c r="D78" i="2"/>
  <c r="I77" i="2"/>
  <c r="H77" i="2"/>
  <c r="G77" i="2"/>
  <c r="F77" i="2"/>
  <c r="E77" i="2"/>
  <c r="D77" i="2"/>
  <c r="B78" i="2"/>
  <c r="B77" i="2"/>
  <c r="I41" i="2"/>
  <c r="H41" i="2"/>
  <c r="G41" i="2"/>
  <c r="F41" i="2"/>
  <c r="E41" i="2"/>
  <c r="D41" i="2"/>
  <c r="I40" i="2"/>
  <c r="H40" i="2"/>
  <c r="G40" i="2"/>
  <c r="F40" i="2"/>
  <c r="E40" i="2"/>
  <c r="D40" i="2"/>
  <c r="B363" i="2"/>
  <c r="B362" i="2"/>
  <c r="B361" i="2"/>
  <c r="B360" i="2"/>
  <c r="B359" i="2"/>
  <c r="B358" i="2"/>
  <c r="B357" i="2"/>
  <c r="E316" i="2"/>
  <c r="B316" i="2"/>
  <c r="E315" i="2"/>
  <c r="B315" i="2"/>
  <c r="E279" i="2"/>
  <c r="B279" i="2"/>
  <c r="E278" i="2"/>
  <c r="B278" i="2"/>
  <c r="E244" i="2"/>
  <c r="B244" i="2"/>
  <c r="E243" i="2"/>
  <c r="B243" i="2"/>
  <c r="E207" i="2"/>
  <c r="B207" i="2"/>
  <c r="E206" i="2"/>
  <c r="B206" i="2"/>
  <c r="E172" i="2"/>
  <c r="B172" i="2"/>
  <c r="E171" i="2"/>
  <c r="B171" i="2"/>
  <c r="E135" i="2"/>
  <c r="B135" i="2"/>
  <c r="E134" i="2"/>
  <c r="B134" i="2"/>
  <c r="G100" i="2"/>
  <c r="E100" i="2"/>
  <c r="B100" i="2"/>
  <c r="E99" i="2"/>
  <c r="B99" i="2"/>
  <c r="G63" i="2"/>
  <c r="G62" i="2"/>
  <c r="E63" i="2"/>
  <c r="B63" i="2"/>
  <c r="E62" i="2"/>
  <c r="B62" i="2"/>
  <c r="B335" i="2"/>
  <c r="B333" i="2"/>
  <c r="B332" i="2"/>
  <c r="B331" i="2"/>
  <c r="B330" i="2"/>
  <c r="E193" i="2"/>
  <c r="B193" i="2"/>
  <c r="E197" i="2"/>
  <c r="B197" i="2"/>
  <c r="E192" i="2"/>
  <c r="B192" i="2"/>
  <c r="E162" i="2"/>
  <c r="B162" i="2"/>
  <c r="E158" i="2"/>
  <c r="B158" i="2"/>
  <c r="E157" i="2"/>
  <c r="B157" i="2"/>
  <c r="B229" i="2"/>
  <c r="E229" i="2"/>
  <c r="E230" i="2"/>
  <c r="B234" i="2"/>
  <c r="E234" i="2"/>
  <c r="B264" i="2"/>
  <c r="E264" i="2"/>
  <c r="B269" i="2"/>
  <c r="E269" i="2"/>
  <c r="B301" i="2"/>
  <c r="E301" i="2"/>
  <c r="B302" i="2"/>
  <c r="E302" i="2"/>
  <c r="B306" i="2"/>
  <c r="E306" i="2"/>
  <c r="I2" i="2"/>
  <c r="G58" i="2"/>
  <c r="E130" i="2"/>
  <c r="B130" i="2"/>
  <c r="E121" i="2"/>
  <c r="B121" i="2"/>
  <c r="E95" i="2"/>
  <c r="B95" i="2"/>
  <c r="E94" i="2"/>
  <c r="B94" i="2"/>
  <c r="E52" i="2"/>
  <c r="B52" i="2"/>
  <c r="B57" i="2"/>
  <c r="E58" i="2"/>
  <c r="E57" i="2"/>
  <c r="B58" i="2"/>
  <c r="E53" i="2"/>
  <c r="B53" i="2"/>
  <c r="E125" i="2"/>
  <c r="E120" i="2"/>
  <c r="B125" i="2"/>
  <c r="B120" i="2"/>
  <c r="E86" i="2"/>
  <c r="B86" i="2"/>
  <c r="B85" i="2"/>
  <c r="E49" i="2"/>
  <c r="E48" i="2"/>
  <c r="B49" i="2"/>
  <c r="B48" i="2"/>
  <c r="B19" i="2"/>
  <c r="J64" i="2" l="1"/>
  <c r="N13" i="8"/>
  <c r="O13" i="8" s="1"/>
  <c r="V13" i="8" s="1"/>
  <c r="N21" i="8"/>
  <c r="O21" i="8" s="1"/>
  <c r="G99" i="2"/>
  <c r="J135" i="2"/>
  <c r="J274" i="2"/>
  <c r="J275" i="2" s="1"/>
  <c r="G362" i="2" s="1"/>
  <c r="N20" i="8"/>
  <c r="O20" i="8" s="1"/>
  <c r="V20" i="8" s="1"/>
  <c r="J130" i="2"/>
  <c r="J131" i="2" s="1"/>
  <c r="G358" i="2" s="1"/>
  <c r="J315" i="2"/>
  <c r="J95" i="2"/>
  <c r="J96" i="2" s="1"/>
  <c r="G357" i="2" s="1"/>
  <c r="B339" i="2"/>
  <c r="E334" i="2"/>
  <c r="J172" i="2"/>
  <c r="C188" i="2"/>
  <c r="H202" i="2" s="1"/>
  <c r="J311" i="2"/>
  <c r="J312" i="2" s="1"/>
  <c r="G363" i="2" s="1"/>
  <c r="N15" i="8"/>
  <c r="O15" i="8" s="1"/>
  <c r="V15" i="8" s="1"/>
  <c r="N19" i="8"/>
  <c r="O19" i="8" s="1"/>
  <c r="J207" i="2"/>
  <c r="J198" i="2"/>
  <c r="F360" i="2" s="1"/>
  <c r="J244" i="2"/>
  <c r="J235" i="2"/>
  <c r="F361" i="2" s="1"/>
  <c r="G337" i="2"/>
  <c r="F336" i="2"/>
  <c r="F332" i="2"/>
  <c r="V22" i="8"/>
  <c r="J316" i="2"/>
  <c r="G336" i="2"/>
  <c r="N14" i="8"/>
  <c r="O14" i="8" s="1"/>
  <c r="V14" i="8" s="1"/>
  <c r="E339" i="2"/>
  <c r="J202" i="2"/>
  <c r="J203" i="2" s="1"/>
  <c r="G360" i="2" s="1"/>
  <c r="J279" i="2"/>
  <c r="J280" i="2" s="1"/>
  <c r="H362" i="2" s="1"/>
  <c r="G334" i="2"/>
  <c r="N18" i="8"/>
  <c r="O18" i="8" s="1"/>
  <c r="B334" i="2"/>
  <c r="J239" i="2"/>
  <c r="J240" i="2" s="1"/>
  <c r="G361" i="2" s="1"/>
  <c r="G333" i="2"/>
  <c r="V18" i="8"/>
  <c r="G11" i="2"/>
  <c r="J12" i="2"/>
  <c r="I15" i="2"/>
  <c r="H10" i="2"/>
  <c r="F13" i="2"/>
  <c r="G12" i="2"/>
  <c r="J13" i="2"/>
  <c r="H11" i="2"/>
  <c r="F14" i="2"/>
  <c r="E9" i="2"/>
  <c r="B15" i="2"/>
  <c r="G13" i="2"/>
  <c r="J14" i="2"/>
  <c r="I9" i="2"/>
  <c r="H12" i="2"/>
  <c r="F15" i="2"/>
  <c r="E10" i="2"/>
  <c r="G14" i="2"/>
  <c r="J15" i="2"/>
  <c r="I10" i="2"/>
  <c r="H13" i="2"/>
  <c r="E11" i="2"/>
  <c r="G15" i="2"/>
  <c r="I11" i="2"/>
  <c r="H14" i="2"/>
  <c r="F9" i="2"/>
  <c r="E12" i="2"/>
  <c r="A48" i="4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79" i="4" s="1"/>
  <c r="A80" i="4" s="1"/>
  <c r="A81" i="4" s="1"/>
  <c r="A82" i="4" s="1"/>
  <c r="A83" i="4" s="1"/>
  <c r="A84" i="4" s="1"/>
  <c r="A85" i="4" s="1"/>
  <c r="A86" i="4" s="1"/>
  <c r="A87" i="4" s="1"/>
  <c r="A88" i="4" s="1"/>
  <c r="A89" i="4" s="1"/>
  <c r="A90" i="4" s="1"/>
  <c r="J9" i="2"/>
  <c r="I12" i="2"/>
  <c r="H15" i="2"/>
  <c r="F10" i="2"/>
  <c r="E13" i="2"/>
  <c r="G9" i="2"/>
  <c r="J10" i="2"/>
  <c r="I13" i="2"/>
  <c r="F11" i="2"/>
  <c r="E14" i="2"/>
  <c r="I14" i="2"/>
  <c r="E15" i="2"/>
  <c r="B14" i="2"/>
  <c r="B20" i="2"/>
  <c r="B13" i="2"/>
  <c r="G10" i="2"/>
  <c r="F12" i="2"/>
  <c r="B12" i="2"/>
  <c r="J11" i="2"/>
  <c r="B11" i="2"/>
  <c r="B341" i="2"/>
  <c r="B10" i="2"/>
  <c r="B9" i="2"/>
  <c r="F341" i="2"/>
  <c r="H9" i="2"/>
  <c r="F20" i="2"/>
  <c r="A130" i="3"/>
  <c r="A131" i="3" s="1"/>
  <c r="A132" i="3" s="1"/>
  <c r="A133" i="3" s="1"/>
  <c r="A134" i="3" s="1"/>
  <c r="A135" i="3" s="1"/>
  <c r="A136" i="3" s="1"/>
  <c r="A137" i="3" s="1"/>
  <c r="A138" i="3" s="1"/>
  <c r="A139" i="3" s="1"/>
  <c r="J219" i="2"/>
  <c r="J147" i="2"/>
  <c r="J108" i="2"/>
  <c r="J38" i="2"/>
  <c r="I295" i="2"/>
  <c r="I291" i="2"/>
  <c r="G290" i="2"/>
  <c r="E289" i="2"/>
  <c r="I258" i="2"/>
  <c r="I254" i="2"/>
  <c r="G253" i="2"/>
  <c r="E252" i="2"/>
  <c r="I223" i="2"/>
  <c r="G222" i="2"/>
  <c r="E221" i="2"/>
  <c r="J220" i="2"/>
  <c r="J180" i="2"/>
  <c r="J148" i="2"/>
  <c r="J109" i="2"/>
  <c r="J39" i="2"/>
  <c r="B36" i="2"/>
  <c r="B289" i="2"/>
  <c r="B252" i="2"/>
  <c r="H295" i="2"/>
  <c r="H291" i="2"/>
  <c r="F290" i="2"/>
  <c r="D289" i="2"/>
  <c r="H258" i="2"/>
  <c r="H254" i="2"/>
  <c r="F253" i="2"/>
  <c r="D252" i="2"/>
  <c r="H223" i="2"/>
  <c r="F222" i="2"/>
  <c r="D221" i="2"/>
  <c r="J295" i="2"/>
  <c r="J258" i="2"/>
  <c r="J221" i="2"/>
  <c r="J186" i="2"/>
  <c r="J110" i="2"/>
  <c r="J79" i="2"/>
  <c r="G295" i="2"/>
  <c r="I292" i="2"/>
  <c r="G291" i="2"/>
  <c r="E290" i="2"/>
  <c r="I259" i="2"/>
  <c r="G258" i="2"/>
  <c r="I255" i="2"/>
  <c r="G254" i="2"/>
  <c r="E253" i="2"/>
  <c r="I224" i="2"/>
  <c r="G223" i="2"/>
  <c r="E222" i="2"/>
  <c r="I220" i="2"/>
  <c r="J259" i="2"/>
  <c r="J222" i="2"/>
  <c r="J181" i="2"/>
  <c r="J187" i="2"/>
  <c r="J111" i="2"/>
  <c r="J80" i="2"/>
  <c r="F295" i="2"/>
  <c r="H292" i="2"/>
  <c r="F291" i="2"/>
  <c r="D290" i="2"/>
  <c r="H259" i="2"/>
  <c r="F258" i="2"/>
  <c r="H255" i="2"/>
  <c r="F254" i="2"/>
  <c r="D253" i="2"/>
  <c r="H224" i="2"/>
  <c r="F223" i="2"/>
  <c r="D222" i="2"/>
  <c r="H220" i="2"/>
  <c r="J289" i="2"/>
  <c r="J252" i="2"/>
  <c r="J223" i="2"/>
  <c r="J151" i="2"/>
  <c r="J73" i="2"/>
  <c r="J42" i="2"/>
  <c r="E295" i="2"/>
  <c r="G292" i="2"/>
  <c r="E291" i="2"/>
  <c r="I289" i="2"/>
  <c r="G259" i="2"/>
  <c r="E258" i="2"/>
  <c r="G255" i="2"/>
  <c r="J290" i="2"/>
  <c r="J253" i="2"/>
  <c r="J224" i="2"/>
  <c r="J182" i="2"/>
  <c r="J152" i="2"/>
  <c r="J74" i="2"/>
  <c r="D180" i="2"/>
  <c r="J43" i="2"/>
  <c r="D295" i="2"/>
  <c r="F292" i="2"/>
  <c r="D291" i="2"/>
  <c r="H289" i="2"/>
  <c r="F259" i="2"/>
  <c r="D258" i="2"/>
  <c r="F255" i="2"/>
  <c r="D254" i="2"/>
  <c r="H252" i="2"/>
  <c r="F224" i="2"/>
  <c r="D223" i="2"/>
  <c r="H221" i="2"/>
  <c r="F220" i="2"/>
  <c r="D219" i="2"/>
  <c r="H217" i="2"/>
  <c r="F187" i="2"/>
  <c r="J291" i="2"/>
  <c r="J254" i="2"/>
  <c r="J217" i="2"/>
  <c r="J183" i="2"/>
  <c r="J145" i="2"/>
  <c r="J114" i="2"/>
  <c r="J75" i="2"/>
  <c r="J36" i="2"/>
  <c r="E292" i="2"/>
  <c r="I290" i="2"/>
  <c r="G289" i="2"/>
  <c r="E259" i="2"/>
  <c r="E255" i="2"/>
  <c r="I253" i="2"/>
  <c r="G252" i="2"/>
  <c r="E224" i="2"/>
  <c r="I222" i="2"/>
  <c r="G221" i="2"/>
  <c r="E220" i="2"/>
  <c r="I218" i="2"/>
  <c r="G217" i="2"/>
  <c r="J292" i="2"/>
  <c r="J76" i="2"/>
  <c r="D224" i="2"/>
  <c r="H219" i="2"/>
  <c r="D218" i="2"/>
  <c r="E187" i="2"/>
  <c r="E183" i="2"/>
  <c r="I181" i="2"/>
  <c r="G180" i="2"/>
  <c r="D152" i="2"/>
  <c r="D148" i="2"/>
  <c r="H146" i="2"/>
  <c r="F145" i="2"/>
  <c r="D115" i="2"/>
  <c r="D111" i="2"/>
  <c r="H109" i="2"/>
  <c r="F108" i="2"/>
  <c r="B217" i="2"/>
  <c r="D80" i="2"/>
  <c r="D76" i="2"/>
  <c r="H74" i="2"/>
  <c r="F73" i="2"/>
  <c r="D43" i="2"/>
  <c r="D39" i="2"/>
  <c r="H37" i="2"/>
  <c r="F36" i="2"/>
  <c r="E223" i="2"/>
  <c r="G219" i="2"/>
  <c r="I217" i="2"/>
  <c r="D187" i="2"/>
  <c r="D183" i="2"/>
  <c r="H181" i="2"/>
  <c r="F180" i="2"/>
  <c r="I151" i="2"/>
  <c r="I147" i="2"/>
  <c r="G146" i="2"/>
  <c r="E145" i="2"/>
  <c r="I114" i="2"/>
  <c r="I110" i="2"/>
  <c r="G109" i="2"/>
  <c r="E108" i="2"/>
  <c r="I79" i="2"/>
  <c r="I75" i="2"/>
  <c r="G74" i="2"/>
  <c r="E73" i="2"/>
  <c r="I42" i="2"/>
  <c r="I38" i="2"/>
  <c r="G37" i="2"/>
  <c r="E36" i="2"/>
  <c r="I219" i="2"/>
  <c r="D182" i="2"/>
  <c r="G145" i="2"/>
  <c r="I74" i="2"/>
  <c r="I37" i="2"/>
  <c r="D292" i="2"/>
  <c r="D255" i="2"/>
  <c r="H222" i="2"/>
  <c r="F219" i="2"/>
  <c r="F217" i="2"/>
  <c r="I186" i="2"/>
  <c r="I182" i="2"/>
  <c r="G181" i="2"/>
  <c r="E180" i="2"/>
  <c r="H151" i="2"/>
  <c r="H147" i="2"/>
  <c r="F146" i="2"/>
  <c r="D145" i="2"/>
  <c r="H114" i="2"/>
  <c r="H110" i="2"/>
  <c r="F109" i="2"/>
  <c r="D108" i="2"/>
  <c r="B108" i="2"/>
  <c r="H79" i="2"/>
  <c r="H75" i="2"/>
  <c r="F74" i="2"/>
  <c r="D73" i="2"/>
  <c r="B73" i="2"/>
  <c r="H42" i="2"/>
  <c r="H38" i="2"/>
  <c r="F37" i="2"/>
  <c r="D36" i="2"/>
  <c r="J255" i="2"/>
  <c r="D186" i="2"/>
  <c r="E148" i="2"/>
  <c r="E111" i="2"/>
  <c r="G73" i="2"/>
  <c r="E39" i="2"/>
  <c r="H290" i="2"/>
  <c r="E254" i="2"/>
  <c r="I221" i="2"/>
  <c r="E219" i="2"/>
  <c r="E217" i="2"/>
  <c r="H186" i="2"/>
  <c r="H182" i="2"/>
  <c r="F181" i="2"/>
  <c r="I152" i="2"/>
  <c r="G151" i="2"/>
  <c r="I148" i="2"/>
  <c r="G147" i="2"/>
  <c r="E146" i="2"/>
  <c r="I115" i="2"/>
  <c r="G114" i="2"/>
  <c r="I111" i="2"/>
  <c r="G110" i="2"/>
  <c r="E109" i="2"/>
  <c r="I80" i="2"/>
  <c r="G79" i="2"/>
  <c r="I76" i="2"/>
  <c r="G75" i="2"/>
  <c r="E74" i="2"/>
  <c r="I43" i="2"/>
  <c r="G42" i="2"/>
  <c r="I39" i="2"/>
  <c r="G38" i="2"/>
  <c r="E37" i="2"/>
  <c r="H180" i="2"/>
  <c r="I146" i="2"/>
  <c r="G108" i="2"/>
  <c r="E43" i="2"/>
  <c r="J146" i="2"/>
  <c r="J115" i="2"/>
  <c r="F289" i="2"/>
  <c r="H253" i="2"/>
  <c r="F221" i="2"/>
  <c r="H218" i="2"/>
  <c r="D217" i="2"/>
  <c r="G186" i="2"/>
  <c r="I183" i="2"/>
  <c r="G182" i="2"/>
  <c r="E181" i="2"/>
  <c r="H152" i="2"/>
  <c r="F151" i="2"/>
  <c r="H148" i="2"/>
  <c r="F147" i="2"/>
  <c r="D146" i="2"/>
  <c r="H115" i="2"/>
  <c r="F114" i="2"/>
  <c r="H111" i="2"/>
  <c r="F110" i="2"/>
  <c r="D109" i="2"/>
  <c r="B145" i="2"/>
  <c r="H80" i="2"/>
  <c r="F79" i="2"/>
  <c r="H76" i="2"/>
  <c r="F75" i="2"/>
  <c r="D74" i="2"/>
  <c r="H43" i="2"/>
  <c r="F42" i="2"/>
  <c r="H39" i="2"/>
  <c r="F38" i="2"/>
  <c r="D37" i="2"/>
  <c r="G224" i="2"/>
  <c r="E76" i="2"/>
  <c r="D259" i="2"/>
  <c r="I252" i="2"/>
  <c r="G220" i="2"/>
  <c r="G218" i="2"/>
  <c r="I187" i="2"/>
  <c r="F186" i="2"/>
  <c r="H183" i="2"/>
  <c r="F182" i="2"/>
  <c r="D181" i="2"/>
  <c r="G152" i="2"/>
  <c r="E151" i="2"/>
  <c r="G148" i="2"/>
  <c r="E147" i="2"/>
  <c r="I145" i="2"/>
  <c r="G115" i="2"/>
  <c r="E114" i="2"/>
  <c r="G111" i="2"/>
  <c r="E110" i="2"/>
  <c r="I108" i="2"/>
  <c r="G80" i="2"/>
  <c r="E79" i="2"/>
  <c r="G76" i="2"/>
  <c r="E75" i="2"/>
  <c r="I73" i="2"/>
  <c r="G43" i="2"/>
  <c r="E42" i="2"/>
  <c r="G39" i="2"/>
  <c r="E38" i="2"/>
  <c r="I36" i="2"/>
  <c r="J218" i="2"/>
  <c r="G187" i="2"/>
  <c r="E152" i="2"/>
  <c r="I109" i="2"/>
  <c r="E80" i="2"/>
  <c r="G36" i="2"/>
  <c r="J37" i="2"/>
  <c r="F252" i="2"/>
  <c r="D220" i="2"/>
  <c r="F218" i="2"/>
  <c r="H187" i="2"/>
  <c r="E186" i="2"/>
  <c r="G183" i="2"/>
  <c r="E182" i="2"/>
  <c r="I180" i="2"/>
  <c r="F152" i="2"/>
  <c r="D151" i="2"/>
  <c r="F148" i="2"/>
  <c r="D147" i="2"/>
  <c r="H145" i="2"/>
  <c r="F115" i="2"/>
  <c r="D114" i="2"/>
  <c r="F111" i="2"/>
  <c r="D110" i="2"/>
  <c r="H108" i="2"/>
  <c r="B180" i="2"/>
  <c r="F80" i="2"/>
  <c r="D79" i="2"/>
  <c r="F76" i="2"/>
  <c r="D75" i="2"/>
  <c r="H73" i="2"/>
  <c r="F43" i="2"/>
  <c r="D42" i="2"/>
  <c r="F39" i="2"/>
  <c r="D38" i="2"/>
  <c r="H36" i="2"/>
  <c r="E218" i="2"/>
  <c r="F183" i="2"/>
  <c r="E115" i="2"/>
  <c r="J136" i="2"/>
  <c r="H358" i="2" s="1"/>
  <c r="J126" i="2"/>
  <c r="F358" i="2" s="1"/>
  <c r="J243" i="2"/>
  <c r="F338" i="2"/>
  <c r="E338" i="2"/>
  <c r="G338" i="2"/>
  <c r="J173" i="2"/>
  <c r="H359" i="2" s="1"/>
  <c r="J307" i="2"/>
  <c r="F363" i="2" s="1"/>
  <c r="J163" i="2"/>
  <c r="F359" i="2" s="1"/>
  <c r="J317" i="2"/>
  <c r="H363" i="2" s="1"/>
  <c r="J270" i="2"/>
  <c r="F362" i="2" s="1"/>
  <c r="G341" i="2"/>
  <c r="V19" i="8"/>
  <c r="J91" i="2"/>
  <c r="F357" i="2" s="1"/>
  <c r="J54" i="2"/>
  <c r="J206" i="2"/>
  <c r="J208" i="2" s="1"/>
  <c r="H360" i="2" s="1"/>
  <c r="F335" i="2"/>
  <c r="E335" i="2"/>
  <c r="G335" i="2"/>
  <c r="V21" i="8"/>
  <c r="G332" i="2"/>
  <c r="J245" i="2" l="1"/>
  <c r="H361" i="2" s="1"/>
  <c r="H369" i="2" s="1"/>
  <c r="F343" i="2"/>
  <c r="G369" i="2"/>
  <c r="F369" i="2"/>
  <c r="G343" i="2"/>
  <c r="E20" i="2"/>
  <c r="J153" i="2"/>
  <c r="J260" i="2"/>
  <c r="J297" i="2"/>
  <c r="J188" i="2"/>
  <c r="F22" i="2"/>
  <c r="F24" i="2" s="1"/>
  <c r="J225" i="2"/>
  <c r="A140" i="3"/>
  <c r="A141" i="3" s="1"/>
  <c r="A142" i="3" s="1"/>
  <c r="A143" i="3" s="1"/>
  <c r="A144" i="3" s="1"/>
  <c r="A145" i="3" s="1"/>
  <c r="A146" i="3" s="1"/>
  <c r="A147" i="3" s="1"/>
  <c r="A148" i="3" s="1"/>
  <c r="A149" i="3" s="1"/>
  <c r="A150" i="3" s="1"/>
  <c r="A151" i="3" s="1"/>
  <c r="A152" i="3" s="1"/>
  <c r="A153" i="3" s="1"/>
  <c r="A154" i="3" s="1"/>
  <c r="A155" i="3" s="1"/>
  <c r="A156" i="3" s="1"/>
  <c r="A157" i="3" s="1"/>
  <c r="A158" i="3" s="1"/>
  <c r="A159" i="3" s="1"/>
  <c r="A160" i="3" s="1"/>
  <c r="A161" i="3" s="1"/>
  <c r="A162" i="3" s="1"/>
  <c r="A163" i="3" s="1"/>
  <c r="A164" i="3" s="1"/>
  <c r="A165" i="3" s="1"/>
  <c r="A166" i="3" s="1"/>
  <c r="A167" i="3" s="1"/>
  <c r="A168" i="3" s="1"/>
  <c r="A169" i="3" s="1"/>
  <c r="A170" i="3" s="1"/>
  <c r="A171" i="3" s="1"/>
  <c r="A172" i="3" s="1"/>
  <c r="B65" i="1"/>
  <c r="I65" i="1" s="1"/>
  <c r="U65" i="1" s="1"/>
  <c r="B41" i="1"/>
  <c r="I41" i="1" s="1"/>
  <c r="B30" i="1"/>
  <c r="I30" i="1" s="1"/>
  <c r="U30" i="1" s="1"/>
  <c r="B35" i="1"/>
  <c r="I35" i="1" s="1"/>
  <c r="U35" i="1" s="1"/>
  <c r="B40" i="1"/>
  <c r="I40" i="1" s="1"/>
  <c r="U40" i="1" s="1"/>
  <c r="B29" i="1"/>
  <c r="I29" i="1" s="1"/>
  <c r="U29" i="1" s="1"/>
  <c r="B64" i="1"/>
  <c r="I64" i="1" s="1"/>
  <c r="B62" i="1"/>
  <c r="I62" i="1" s="1"/>
  <c r="B54" i="1"/>
  <c r="I54" i="1" s="1"/>
  <c r="U54" i="1" s="1"/>
  <c r="B45" i="1"/>
  <c r="I45" i="1" s="1"/>
  <c r="B38" i="1"/>
  <c r="I38" i="1" s="1"/>
  <c r="B28" i="1"/>
  <c r="I28" i="1" s="1"/>
  <c r="U28" i="1" s="1"/>
  <c r="B58" i="1"/>
  <c r="I58" i="1" s="1"/>
  <c r="U58" i="1" s="1"/>
  <c r="B56" i="1"/>
  <c r="I56" i="1" s="1"/>
  <c r="U56" i="1" s="1"/>
  <c r="B50" i="1"/>
  <c r="I50" i="1" s="1"/>
  <c r="U50" i="1" s="1"/>
  <c r="B39" i="1"/>
  <c r="I39" i="1" s="1"/>
  <c r="U39" i="1" s="1"/>
  <c r="B34" i="1"/>
  <c r="I34" i="1" s="1"/>
  <c r="U34" i="1" s="1"/>
  <c r="B36" i="1"/>
  <c r="I36" i="1" s="1"/>
  <c r="U36" i="1" s="1"/>
  <c r="B66" i="1"/>
  <c r="B49" i="1"/>
  <c r="I49" i="1" s="1"/>
  <c r="U49" i="1" s="1"/>
  <c r="B33" i="1"/>
  <c r="I33" i="1" s="1"/>
  <c r="U33" i="1" s="1"/>
  <c r="B48" i="1"/>
  <c r="I48" i="1" s="1"/>
  <c r="U48" i="1" s="1"/>
  <c r="B32" i="1"/>
  <c r="I32" i="1" s="1"/>
  <c r="U32" i="1" s="1"/>
  <c r="B61" i="1"/>
  <c r="I61" i="1" s="1"/>
  <c r="B43" i="1"/>
  <c r="I43" i="1" s="1"/>
  <c r="U43" i="1" s="1"/>
  <c r="B31" i="1"/>
  <c r="I31" i="1" s="1"/>
  <c r="U31" i="1" s="1"/>
  <c r="B59" i="1"/>
  <c r="I59" i="1" s="1"/>
  <c r="U59" i="1" s="1"/>
  <c r="B57" i="1"/>
  <c r="I57" i="1" s="1"/>
  <c r="U57" i="1" s="1"/>
  <c r="B55" i="1"/>
  <c r="I55" i="1" s="1"/>
  <c r="U55" i="1" s="1"/>
  <c r="B47" i="1"/>
  <c r="I47" i="1" s="1"/>
  <c r="B42" i="1"/>
  <c r="I42" i="1" s="1"/>
  <c r="U42" i="1" s="1"/>
  <c r="B27" i="1"/>
  <c r="I27" i="1" s="1"/>
  <c r="U27" i="1" s="1"/>
  <c r="B53" i="1"/>
  <c r="I53" i="1" s="1"/>
  <c r="B26" i="1"/>
  <c r="I26" i="1" s="1"/>
  <c r="U26" i="1" s="1"/>
  <c r="B63" i="1"/>
  <c r="I63" i="1" s="1"/>
  <c r="B46" i="1"/>
  <c r="I46" i="1" s="1"/>
  <c r="B25" i="1"/>
  <c r="I25" i="1" s="1"/>
  <c r="B52" i="1"/>
  <c r="I52" i="1" s="1"/>
  <c r="U52" i="1" s="1"/>
  <c r="B67" i="1"/>
  <c r="B24" i="1"/>
  <c r="I24" i="1" s="1"/>
  <c r="E22" i="2"/>
  <c r="E24" i="2" s="1"/>
  <c r="I20" i="2"/>
  <c r="I22" i="2" s="1"/>
  <c r="I24" i="2" s="1"/>
  <c r="J20" i="2"/>
  <c r="J22" i="2" s="1"/>
  <c r="J24" i="2" s="1"/>
  <c r="J116" i="2"/>
  <c r="H20" i="2"/>
  <c r="H22" i="2" s="1"/>
  <c r="H24" i="2" s="1"/>
  <c r="J44" i="2"/>
  <c r="J65" i="2" s="1"/>
  <c r="J81" i="2"/>
  <c r="E341" i="2"/>
  <c r="E343" i="2" s="1"/>
  <c r="G20" i="2"/>
  <c r="G22" i="2" s="1"/>
  <c r="G24" i="2" s="1"/>
  <c r="U61" i="1" l="1"/>
  <c r="U63" i="1"/>
  <c r="U64" i="1"/>
  <c r="U46" i="1"/>
  <c r="U25" i="1"/>
  <c r="U24" i="1"/>
  <c r="U45" i="1"/>
  <c r="U47" i="1"/>
  <c r="U41" i="1"/>
  <c r="L41" i="1"/>
  <c r="U53" i="1"/>
  <c r="U38" i="1"/>
  <c r="G226" i="2"/>
  <c r="G45" i="2"/>
  <c r="G154" i="2"/>
  <c r="G261" i="2"/>
  <c r="G82" i="2"/>
  <c r="G189" i="2"/>
  <c r="G298" i="2"/>
  <c r="G117" i="2"/>
  <c r="I154" i="2"/>
  <c r="I298" i="2"/>
  <c r="I45" i="2"/>
  <c r="I189" i="2"/>
  <c r="I226" i="2"/>
  <c r="I117" i="2"/>
  <c r="I82" i="2"/>
  <c r="I261" i="2"/>
  <c r="G344" i="2"/>
  <c r="G345" i="2" s="1"/>
  <c r="F226" i="2"/>
  <c r="F189" i="2"/>
  <c r="F45" i="2"/>
  <c r="F154" i="2"/>
  <c r="F261" i="2"/>
  <c r="F117" i="2"/>
  <c r="F298" i="2"/>
  <c r="F82" i="2"/>
  <c r="H154" i="2"/>
  <c r="H226" i="2"/>
  <c r="H82" i="2"/>
  <c r="H189" i="2"/>
  <c r="H117" i="2"/>
  <c r="H261" i="2"/>
  <c r="H45" i="2"/>
  <c r="H298" i="2"/>
  <c r="E189" i="2"/>
  <c r="E117" i="2"/>
  <c r="E82" i="2"/>
  <c r="F344" i="2"/>
  <c r="F345" i="2" s="1"/>
  <c r="E226" i="2"/>
  <c r="E261" i="2"/>
  <c r="E45" i="2"/>
  <c r="E154" i="2"/>
  <c r="E298" i="2"/>
  <c r="E360" i="2"/>
  <c r="J209" i="2"/>
  <c r="I360" i="2" s="1"/>
  <c r="J318" i="2"/>
  <c r="I363" i="2" s="1"/>
  <c r="E363" i="2"/>
  <c r="J102" i="2"/>
  <c r="I357" i="2" s="1"/>
  <c r="E357" i="2"/>
  <c r="E362" i="2"/>
  <c r="J281" i="2"/>
  <c r="I362" i="2" s="1"/>
  <c r="J362" i="2" s="1"/>
  <c r="D189" i="2"/>
  <c r="D261" i="2"/>
  <c r="D117" i="2"/>
  <c r="E344" i="2"/>
  <c r="E345" i="2" s="1"/>
  <c r="D45" i="2"/>
  <c r="D298" i="2"/>
  <c r="D82" i="2"/>
  <c r="D154" i="2"/>
  <c r="D226" i="2"/>
  <c r="J174" i="2"/>
  <c r="I359" i="2" s="1"/>
  <c r="E359" i="2"/>
  <c r="E358" i="2"/>
  <c r="J137" i="2"/>
  <c r="I358" i="2" s="1"/>
  <c r="A173" i="3"/>
  <c r="A174" i="3" s="1"/>
  <c r="A175" i="3" s="1"/>
  <c r="A176" i="3" s="1"/>
  <c r="A177" i="3" s="1"/>
  <c r="A178" i="3" s="1"/>
  <c r="A179" i="3" s="1"/>
  <c r="A180" i="3" s="1"/>
  <c r="A181" i="3" s="1"/>
  <c r="A182" i="3" s="1"/>
  <c r="A183" i="3" s="1"/>
  <c r="A184" i="3" s="1"/>
  <c r="A185" i="3" s="1"/>
  <c r="A186" i="3" s="1"/>
  <c r="A187" i="3" s="1"/>
  <c r="A188" i="3" s="1"/>
  <c r="A189" i="3" s="1"/>
  <c r="A190" i="3" s="1"/>
  <c r="A191" i="3" s="1"/>
  <c r="A192" i="3" s="1"/>
  <c r="A193" i="3" s="1"/>
  <c r="A194" i="3" s="1"/>
  <c r="A195" i="3" s="1"/>
  <c r="A196" i="3" s="1"/>
  <c r="A197" i="3" s="1"/>
  <c r="A198" i="3" s="1"/>
  <c r="A199" i="3" s="1"/>
  <c r="A200" i="3" s="1"/>
  <c r="A201" i="3" s="1"/>
  <c r="A202" i="3" s="1"/>
  <c r="A203" i="3" s="1"/>
  <c r="A204" i="3" s="1"/>
  <c r="A205" i="3" s="1"/>
  <c r="A206" i="3" s="1"/>
  <c r="A207" i="3" s="1"/>
  <c r="A208" i="3" s="1"/>
  <c r="A209" i="3" s="1"/>
  <c r="A210" i="3" s="1"/>
  <c r="A211" i="3" s="1"/>
  <c r="A212" i="3" s="1"/>
  <c r="B37" i="2"/>
  <c r="B290" i="2"/>
  <c r="B253" i="2"/>
  <c r="B115" i="2"/>
  <c r="B114" i="2"/>
  <c r="B43" i="2"/>
  <c r="B259" i="2"/>
  <c r="B224" i="2"/>
  <c r="B42" i="2"/>
  <c r="B295" i="2"/>
  <c r="B258" i="2"/>
  <c r="B223" i="2"/>
  <c r="B187" i="2"/>
  <c r="B186" i="2"/>
  <c r="B39" i="2"/>
  <c r="B292" i="2"/>
  <c r="B255" i="2"/>
  <c r="B152" i="2"/>
  <c r="B110" i="2"/>
  <c r="B75" i="2"/>
  <c r="B148" i="2"/>
  <c r="B109" i="2"/>
  <c r="B74" i="2"/>
  <c r="B291" i="2"/>
  <c r="B147" i="2"/>
  <c r="B222" i="2"/>
  <c r="B183" i="2"/>
  <c r="B146" i="2"/>
  <c r="B80" i="2"/>
  <c r="B221" i="2"/>
  <c r="B182" i="2"/>
  <c r="B79" i="2"/>
  <c r="B218" i="2"/>
  <c r="B254" i="2"/>
  <c r="B220" i="2"/>
  <c r="B181" i="2"/>
  <c r="B38" i="2"/>
  <c r="B151" i="2"/>
  <c r="B219" i="2"/>
  <c r="B111" i="2"/>
  <c r="B76" i="2"/>
  <c r="E361" i="2"/>
  <c r="J246" i="2"/>
  <c r="I361" i="2" s="1"/>
  <c r="J361" i="2" l="1"/>
  <c r="J358" i="2"/>
  <c r="J359" i="2"/>
  <c r="J363" i="2"/>
  <c r="J360" i="2"/>
  <c r="H52" i="1"/>
  <c r="O52" i="1" s="1"/>
  <c r="G62" i="1"/>
  <c r="G38" i="1"/>
  <c r="G26" i="1"/>
  <c r="N26" i="1" s="1"/>
  <c r="G59" i="1"/>
  <c r="N59" i="1" s="1"/>
  <c r="G46" i="1"/>
  <c r="F32" i="1"/>
  <c r="F64" i="1"/>
  <c r="H31" i="1"/>
  <c r="E38" i="1"/>
  <c r="D26" i="1"/>
  <c r="H59" i="1"/>
  <c r="H33" i="1"/>
  <c r="H34" i="1"/>
  <c r="C42" i="1"/>
  <c r="F46" i="1"/>
  <c r="E49" i="1"/>
  <c r="G32" i="1"/>
  <c r="F66" i="1"/>
  <c r="G64" i="1"/>
  <c r="C31" i="1"/>
  <c r="F30" i="1"/>
  <c r="D29" i="1"/>
  <c r="C27" i="1"/>
  <c r="F25" i="1"/>
  <c r="M25" i="1" s="1"/>
  <c r="C63" i="1"/>
  <c r="H64" i="1"/>
  <c r="O64" i="1" s="1"/>
  <c r="C22" i="1"/>
  <c r="C16" i="1"/>
  <c r="H50" i="1"/>
  <c r="H26" i="1"/>
  <c r="C59" i="1"/>
  <c r="F33" i="1"/>
  <c r="F34" i="1"/>
  <c r="G42" i="1"/>
  <c r="F41" i="1"/>
  <c r="F40" i="1"/>
  <c r="H24" i="1"/>
  <c r="F47" i="1"/>
  <c r="E65" i="1"/>
  <c r="E36" i="1"/>
  <c r="G31" i="1"/>
  <c r="H29" i="1"/>
  <c r="E28" i="1"/>
  <c r="G27" i="1"/>
  <c r="H67" i="1"/>
  <c r="H61" i="1"/>
  <c r="F43" i="1"/>
  <c r="G18" i="1"/>
  <c r="C15" i="1"/>
  <c r="F53" i="1"/>
  <c r="G45" i="1"/>
  <c r="H48" i="1"/>
  <c r="O48" i="1" s="1"/>
  <c r="C39" i="1"/>
  <c r="J39" i="1" s="1"/>
  <c r="E62" i="1"/>
  <c r="L62" i="1" s="1"/>
  <c r="H58" i="1"/>
  <c r="G57" i="1"/>
  <c r="N57" i="1" s="1"/>
  <c r="F56" i="1"/>
  <c r="E55" i="1"/>
  <c r="L55" i="1" s="1"/>
  <c r="D54" i="1"/>
  <c r="K54" i="1" s="1"/>
  <c r="G52" i="1"/>
  <c r="N52" i="1" s="1"/>
  <c r="H47" i="1"/>
  <c r="O47" i="1" s="1"/>
  <c r="D45" i="1"/>
  <c r="K45" i="1" s="1"/>
  <c r="D38" i="1"/>
  <c r="K38" i="1" s="1"/>
  <c r="C35" i="1"/>
  <c r="J35" i="1" s="1"/>
  <c r="P25" i="1"/>
  <c r="D19" i="1"/>
  <c r="K19" i="1" s="1"/>
  <c r="D14" i="1"/>
  <c r="K14" i="1" s="1"/>
  <c r="P59" i="1"/>
  <c r="P49" i="1"/>
  <c r="P40" i="1"/>
  <c r="H21" i="1"/>
  <c r="G15" i="1"/>
  <c r="N15" i="1" s="1"/>
  <c r="F50" i="1"/>
  <c r="C26" i="1"/>
  <c r="D59" i="1"/>
  <c r="G33" i="1"/>
  <c r="G34" i="1"/>
  <c r="H42" i="1"/>
  <c r="O42" i="1" s="1"/>
  <c r="G41" i="1"/>
  <c r="G40" i="1"/>
  <c r="H32" i="1"/>
  <c r="E50" i="1"/>
  <c r="L50" i="1" s="1"/>
  <c r="F65" i="1"/>
  <c r="F36" i="1"/>
  <c r="M36" i="1" s="1"/>
  <c r="D31" i="1"/>
  <c r="C29" i="1"/>
  <c r="F28" i="1"/>
  <c r="M28" i="1" s="1"/>
  <c r="D27" i="1"/>
  <c r="C67" i="1"/>
  <c r="C61" i="1"/>
  <c r="G43" i="1"/>
  <c r="C18" i="1"/>
  <c r="H53" i="1"/>
  <c r="H69" i="1" s="1"/>
  <c r="C50" i="1"/>
  <c r="J50" i="1" s="1"/>
  <c r="F45" i="1"/>
  <c r="F67" i="1"/>
  <c r="M67" i="1" s="1"/>
  <c r="D64" i="1"/>
  <c r="K64" i="1" s="1"/>
  <c r="D62" i="1"/>
  <c r="K62" i="1" s="1"/>
  <c r="G58" i="1"/>
  <c r="N58" i="1" s="1"/>
  <c r="F57" i="1"/>
  <c r="E56" i="1"/>
  <c r="L56" i="1" s="1"/>
  <c r="D55" i="1"/>
  <c r="K55" i="1" s="1"/>
  <c r="C54" i="1"/>
  <c r="F52" i="1"/>
  <c r="M52" i="1" s="1"/>
  <c r="E47" i="1"/>
  <c r="L47" i="1" s="1"/>
  <c r="C45" i="1"/>
  <c r="J45" i="1" s="1"/>
  <c r="C38" i="1"/>
  <c r="J38" i="1" s="1"/>
  <c r="G24" i="1"/>
  <c r="N24" i="1" s="1"/>
  <c r="P36" i="1"/>
  <c r="P22" i="1"/>
  <c r="P18" i="1"/>
  <c r="P67" i="1"/>
  <c r="P58" i="1"/>
  <c r="P48" i="1"/>
  <c r="P39" i="1"/>
  <c r="G21" i="1"/>
  <c r="E22" i="1"/>
  <c r="L22" i="1" s="1"/>
  <c r="E19" i="1"/>
  <c r="L19" i="1" s="1"/>
  <c r="H62" i="1"/>
  <c r="E26" i="1"/>
  <c r="L26" i="1" s="1"/>
  <c r="E59" i="1"/>
  <c r="L59" i="1" s="1"/>
  <c r="P33" i="1"/>
  <c r="P34" i="1"/>
  <c r="E42" i="1"/>
  <c r="H41" i="1"/>
  <c r="O41" i="1" s="1"/>
  <c r="H40" i="1"/>
  <c r="O40" i="1" s="1"/>
  <c r="A213" i="3"/>
  <c r="A214" i="3" s="1"/>
  <c r="A215" i="3" s="1"/>
  <c r="A216" i="3" s="1"/>
  <c r="A217" i="3" s="1"/>
  <c r="A218" i="3" s="1"/>
  <c r="A219" i="3" s="1"/>
  <c r="A220" i="3" s="1"/>
  <c r="A221" i="3" s="1"/>
  <c r="A222" i="3" s="1"/>
  <c r="A223" i="3" s="1"/>
  <c r="A224" i="3" s="1"/>
  <c r="A225" i="3" s="1"/>
  <c r="A226" i="3" s="1"/>
  <c r="D24" i="1"/>
  <c r="G48" i="1"/>
  <c r="C32" i="1"/>
  <c r="J32" i="1" s="1"/>
  <c r="E66" i="1"/>
  <c r="G65" i="1"/>
  <c r="G36" i="1"/>
  <c r="H30" i="1"/>
  <c r="E29" i="1"/>
  <c r="G28" i="1"/>
  <c r="H25" i="1"/>
  <c r="G67" i="1"/>
  <c r="G61" i="1"/>
  <c r="E43" i="1"/>
  <c r="H14" i="1"/>
  <c r="D50" i="1"/>
  <c r="K50" i="1" s="1"/>
  <c r="P13" i="1"/>
  <c r="P30" i="1"/>
  <c r="E67" i="1"/>
  <c r="L67" i="1" s="1"/>
  <c r="F58" i="1"/>
  <c r="E57" i="1"/>
  <c r="L57" i="1" s="1"/>
  <c r="D56" i="1"/>
  <c r="K56" i="1" s="1"/>
  <c r="C55" i="1"/>
  <c r="E52" i="1"/>
  <c r="L52" i="1" s="1"/>
  <c r="D47" i="1"/>
  <c r="K47" i="1" s="1"/>
  <c r="H39" i="1"/>
  <c r="O39" i="1" s="1"/>
  <c r="F24" i="1"/>
  <c r="M24" i="1" s="1"/>
  <c r="P35" i="1"/>
  <c r="D22" i="1"/>
  <c r="K22" i="1" s="1"/>
  <c r="D18" i="1"/>
  <c r="K18" i="1" s="1"/>
  <c r="P66" i="1"/>
  <c r="P57" i="1"/>
  <c r="P47" i="1"/>
  <c r="P38" i="1"/>
  <c r="H20" i="1"/>
  <c r="G14" i="1"/>
  <c r="N14" i="1" s="1"/>
  <c r="F22" i="1"/>
  <c r="M22" i="1" s="1"/>
  <c r="H17" i="1"/>
  <c r="E33" i="1"/>
  <c r="C41" i="1"/>
  <c r="F49" i="1"/>
  <c r="H36" i="1"/>
  <c r="D30" i="1"/>
  <c r="F27" i="1"/>
  <c r="H18" i="1"/>
  <c r="C13" i="1"/>
  <c r="D49" i="1"/>
  <c r="K49" i="1" s="1"/>
  <c r="D46" i="1"/>
  <c r="K46" i="1" s="1"/>
  <c r="D66" i="1"/>
  <c r="K66" i="1" s="1"/>
  <c r="F61" i="1"/>
  <c r="M61" i="1" s="1"/>
  <c r="E54" i="1"/>
  <c r="L54" i="1" s="1"/>
  <c r="H43" i="1"/>
  <c r="O43" i="1" s="1"/>
  <c r="P20" i="1"/>
  <c r="P65" i="1"/>
  <c r="P53" i="1"/>
  <c r="G19" i="1"/>
  <c r="E21" i="1"/>
  <c r="L21" i="1" s="1"/>
  <c r="E18" i="1"/>
  <c r="L18" i="1" s="1"/>
  <c r="E14" i="1"/>
  <c r="L14" i="1" s="1"/>
  <c r="B16" i="1"/>
  <c r="I16" i="1" s="1"/>
  <c r="F26" i="1"/>
  <c r="M26" i="1" s="1"/>
  <c r="D33" i="1"/>
  <c r="D41" i="1"/>
  <c r="K41" i="1" s="1"/>
  <c r="E32" i="1"/>
  <c r="C36" i="1"/>
  <c r="J36" i="1" s="1"/>
  <c r="F29" i="1"/>
  <c r="C25" i="1"/>
  <c r="H16" i="1"/>
  <c r="H49" i="1"/>
  <c r="O49" i="1" s="1"/>
  <c r="P17" i="1"/>
  <c r="E61" i="1"/>
  <c r="L61" i="1" s="1"/>
  <c r="H57" i="1"/>
  <c r="H55" i="1"/>
  <c r="G53" i="1"/>
  <c r="N53" i="1" s="1"/>
  <c r="D43" i="1"/>
  <c r="K43" i="1" s="1"/>
  <c r="H38" i="1"/>
  <c r="O38" i="1" s="1"/>
  <c r="P31" i="1"/>
  <c r="D20" i="1"/>
  <c r="K20" i="1" s="1"/>
  <c r="P64" i="1"/>
  <c r="P50" i="1"/>
  <c r="G17" i="1"/>
  <c r="F21" i="1"/>
  <c r="M21" i="1" s="1"/>
  <c r="F18" i="1"/>
  <c r="M18" i="1" s="1"/>
  <c r="F14" i="1"/>
  <c r="M14" i="1" s="1"/>
  <c r="B15" i="1"/>
  <c r="I15" i="1" s="1"/>
  <c r="C17" i="1"/>
  <c r="C34" i="1"/>
  <c r="J34" i="1" s="1"/>
  <c r="E41" i="1"/>
  <c r="P32" i="1"/>
  <c r="D36" i="1"/>
  <c r="G29" i="1"/>
  <c r="N29" i="1" s="1"/>
  <c r="E25" i="1"/>
  <c r="L25" i="1" s="1"/>
  <c r="E48" i="1"/>
  <c r="L48" i="1" s="1"/>
  <c r="G16" i="1"/>
  <c r="H66" i="1"/>
  <c r="O66" i="1" s="1"/>
  <c r="C48" i="1"/>
  <c r="J48" i="1" s="1"/>
  <c r="D17" i="1"/>
  <c r="K17" i="1" s="1"/>
  <c r="D65" i="1"/>
  <c r="K65" i="1" s="1"/>
  <c r="D61" i="1"/>
  <c r="K61" i="1" s="1"/>
  <c r="D57" i="1"/>
  <c r="K57" i="1" s="1"/>
  <c r="G55" i="1"/>
  <c r="N55" i="1" s="1"/>
  <c r="E53" i="1"/>
  <c r="L53" i="1" s="1"/>
  <c r="C43" i="1"/>
  <c r="J43" i="1" s="1"/>
  <c r="H35" i="1"/>
  <c r="P29" i="1"/>
  <c r="P19" i="1"/>
  <c r="P63" i="1"/>
  <c r="P46" i="1"/>
  <c r="C21" i="1"/>
  <c r="E17" i="1"/>
  <c r="L17" i="1" s="1"/>
  <c r="B22" i="1"/>
  <c r="I22" i="1" s="1"/>
  <c r="B14" i="1"/>
  <c r="I14" i="1" s="1"/>
  <c r="C62" i="1"/>
  <c r="E34" i="1"/>
  <c r="C40" i="1"/>
  <c r="E46" i="1"/>
  <c r="D32" i="1"/>
  <c r="E31" i="1"/>
  <c r="H28" i="1"/>
  <c r="G25" i="1"/>
  <c r="N25" i="1" s="1"/>
  <c r="C64" i="1"/>
  <c r="J64" i="1" s="1"/>
  <c r="C66" i="1"/>
  <c r="D48" i="1"/>
  <c r="K48" i="1" s="1"/>
  <c r="P24" i="1"/>
  <c r="F63" i="1"/>
  <c r="M63" i="1" s="1"/>
  <c r="C57" i="1"/>
  <c r="F55" i="1"/>
  <c r="M55" i="1" s="1"/>
  <c r="D53" i="1"/>
  <c r="K53" i="1" s="1"/>
  <c r="C47" i="1"/>
  <c r="J47" i="1" s="1"/>
  <c r="G35" i="1"/>
  <c r="P28" i="1"/>
  <c r="P16" i="1"/>
  <c r="P62" i="1"/>
  <c r="P45" i="1"/>
  <c r="E20" i="1"/>
  <c r="L20" i="1" s="1"/>
  <c r="F17" i="1"/>
  <c r="M17" i="1" s="1"/>
  <c r="B21" i="1"/>
  <c r="B13" i="1"/>
  <c r="I13" i="1" s="1"/>
  <c r="F59" i="1"/>
  <c r="D34" i="1"/>
  <c r="D40" i="1"/>
  <c r="K40" i="1" s="1"/>
  <c r="E39" i="1"/>
  <c r="L39" i="1" s="1"/>
  <c r="F31" i="1"/>
  <c r="C28" i="1"/>
  <c r="D25" i="1"/>
  <c r="H46" i="1"/>
  <c r="O46" i="1" s="1"/>
  <c r="H15" i="1"/>
  <c r="H65" i="1"/>
  <c r="O65" i="1" s="1"/>
  <c r="D13" i="1"/>
  <c r="K13" i="1" s="1"/>
  <c r="C24" i="1"/>
  <c r="E63" i="1"/>
  <c r="L63" i="1" s="1"/>
  <c r="C53" i="1"/>
  <c r="J53" i="1" s="1"/>
  <c r="F35" i="1"/>
  <c r="P27" i="1"/>
  <c r="D16" i="1"/>
  <c r="K16" i="1" s="1"/>
  <c r="P61" i="1"/>
  <c r="P43" i="1"/>
  <c r="F20" i="1"/>
  <c r="M20" i="1" s="1"/>
  <c r="E16" i="1"/>
  <c r="L16" i="1" s="1"/>
  <c r="B20" i="1"/>
  <c r="F38" i="1"/>
  <c r="D42" i="1"/>
  <c r="K42" i="1" s="1"/>
  <c r="E40" i="1"/>
  <c r="G47" i="1"/>
  <c r="G50" i="1"/>
  <c r="N50" i="1" s="1"/>
  <c r="C30" i="1"/>
  <c r="D28" i="1"/>
  <c r="H22" i="1"/>
  <c r="C14" i="1"/>
  <c r="C65" i="1"/>
  <c r="J65" i="1" s="1"/>
  <c r="E13" i="1"/>
  <c r="L13" i="1" s="1"/>
  <c r="C52" i="1"/>
  <c r="J52" i="1" s="1"/>
  <c r="D63" i="1"/>
  <c r="K63" i="1" s="1"/>
  <c r="E58" i="1"/>
  <c r="L58" i="1" s="1"/>
  <c r="H56" i="1"/>
  <c r="H54" i="1"/>
  <c r="C46" i="1"/>
  <c r="J46" i="1" s="1"/>
  <c r="G39" i="1"/>
  <c r="N39" i="1" s="1"/>
  <c r="E35" i="1"/>
  <c r="P26" i="1"/>
  <c r="P15" i="1"/>
  <c r="P56" i="1"/>
  <c r="P42" i="1"/>
  <c r="C20" i="1"/>
  <c r="F16" i="1"/>
  <c r="M16" i="1" s="1"/>
  <c r="B19" i="1"/>
  <c r="I19" i="1" s="1"/>
  <c r="F42" i="1"/>
  <c r="F48" i="1"/>
  <c r="G66" i="1"/>
  <c r="E30" i="1"/>
  <c r="H27" i="1"/>
  <c r="H63" i="1"/>
  <c r="G22" i="1"/>
  <c r="E45" i="1"/>
  <c r="F13" i="1"/>
  <c r="M13" i="1" s="1"/>
  <c r="D67" i="1"/>
  <c r="K67" i="1" s="1"/>
  <c r="D58" i="1"/>
  <c r="K58" i="1" s="1"/>
  <c r="G56" i="1"/>
  <c r="N56" i="1" s="1"/>
  <c r="G54" i="1"/>
  <c r="N54" i="1" s="1"/>
  <c r="D52" i="1"/>
  <c r="K52" i="1" s="1"/>
  <c r="F39" i="1"/>
  <c r="M39" i="1" s="1"/>
  <c r="D35" i="1"/>
  <c r="P21" i="1"/>
  <c r="D15" i="1"/>
  <c r="K15" i="1" s="1"/>
  <c r="P55" i="1"/>
  <c r="P41" i="1"/>
  <c r="G20" i="1"/>
  <c r="F19" i="1"/>
  <c r="M19" i="1" s="1"/>
  <c r="E15" i="1"/>
  <c r="L15" i="1" s="1"/>
  <c r="B18" i="1"/>
  <c r="I18" i="1" s="1"/>
  <c r="F54" i="1"/>
  <c r="P54" i="1"/>
  <c r="C49" i="1"/>
  <c r="J49" i="1" s="1"/>
  <c r="H45" i="1"/>
  <c r="O45" i="1" s="1"/>
  <c r="G49" i="1"/>
  <c r="G13" i="1"/>
  <c r="N13" i="1" s="1"/>
  <c r="D39" i="1"/>
  <c r="K39" i="1" s="1"/>
  <c r="H19" i="1"/>
  <c r="C33" i="1"/>
  <c r="J33" i="1" s="1"/>
  <c r="E64" i="1"/>
  <c r="E24" i="1"/>
  <c r="L24" i="1" s="1"/>
  <c r="G30" i="1"/>
  <c r="F62" i="1"/>
  <c r="M62" i="1" s="1"/>
  <c r="C19" i="1"/>
  <c r="E27" i="1"/>
  <c r="C58" i="1"/>
  <c r="D21" i="1"/>
  <c r="K21" i="1" s="1"/>
  <c r="F15" i="1"/>
  <c r="M15" i="1" s="1"/>
  <c r="P14" i="1"/>
  <c r="B17" i="1"/>
  <c r="I17" i="1" s="1"/>
  <c r="C56" i="1"/>
  <c r="G63" i="1"/>
  <c r="E369" i="2"/>
  <c r="I369" i="2"/>
  <c r="J357" i="2"/>
  <c r="U14" i="1" l="1"/>
  <c r="U15" i="1"/>
  <c r="U16" i="1"/>
  <c r="U13" i="1"/>
  <c r="O82" i="1"/>
  <c r="O75" i="1"/>
  <c r="O81" i="1"/>
  <c r="O83" i="1"/>
  <c r="O76" i="1"/>
  <c r="O84" i="1"/>
  <c r="O77" i="1"/>
  <c r="O74" i="1"/>
  <c r="I21" i="1"/>
  <c r="U21" i="1" s="1"/>
  <c r="I20" i="1"/>
  <c r="U20" i="1" s="1"/>
  <c r="U19" i="1"/>
  <c r="U18" i="1"/>
  <c r="U17" i="1"/>
  <c r="U22" i="1"/>
  <c r="U62" i="1"/>
  <c r="E370" i="2"/>
  <c r="J54" i="1"/>
  <c r="L65" i="1"/>
  <c r="J55" i="1"/>
  <c r="J42" i="1"/>
  <c r="J57" i="1"/>
  <c r="L66" i="1"/>
  <c r="J41" i="1"/>
  <c r="J56" i="1"/>
  <c r="I370" i="2"/>
  <c r="H370" i="2"/>
  <c r="F370" i="2"/>
  <c r="G370" i="2"/>
  <c r="J58" i="1"/>
  <c r="J40" i="1"/>
  <c r="O36" i="1"/>
  <c r="L49" i="1"/>
  <c r="K35" i="1" l="1"/>
  <c r="O55" i="1" l="1"/>
  <c r="O54" i="1"/>
  <c r="O58" i="1"/>
  <c r="O56" i="1"/>
  <c r="O57" i="1"/>
  <c r="J25" i="1" l="1"/>
  <c r="N20" i="1"/>
  <c r="N21" i="1"/>
  <c r="N22" i="1"/>
  <c r="O27" i="1"/>
  <c r="O59" i="1"/>
  <c r="O63" i="1"/>
  <c r="O13" i="1" l="1"/>
  <c r="O18" i="1"/>
  <c r="O26" i="1"/>
  <c r="O35" i="1"/>
  <c r="O19" i="1"/>
  <c r="O21" i="1"/>
  <c r="O24" i="1"/>
  <c r="O31" i="1"/>
  <c r="R51" i="1"/>
  <c r="O14" i="1"/>
  <c r="O29" i="1"/>
  <c r="O34" i="1"/>
  <c r="J14" i="1"/>
  <c r="C69" i="1" s="1"/>
  <c r="O16" i="1"/>
  <c r="O30" i="1"/>
  <c r="O62" i="1"/>
  <c r="J15" i="1"/>
  <c r="O17" i="1"/>
  <c r="O28" i="1"/>
  <c r="O33" i="1"/>
  <c r="O67" i="1"/>
  <c r="O15" i="1"/>
  <c r="O20" i="1"/>
  <c r="O61" i="1"/>
  <c r="O25" i="1"/>
  <c r="J13" i="1"/>
  <c r="J17" i="1"/>
  <c r="O50" i="1"/>
  <c r="O32" i="1"/>
  <c r="O22" i="1"/>
  <c r="M50" i="1"/>
  <c r="J76" i="1" l="1"/>
  <c r="J83" i="1"/>
  <c r="J81" i="1"/>
  <c r="J84" i="1"/>
  <c r="J77" i="1"/>
  <c r="J74" i="1"/>
  <c r="J82" i="1"/>
  <c r="J75" i="1"/>
  <c r="J66" i="1"/>
  <c r="R55" i="1"/>
  <c r="R59" i="1"/>
  <c r="R52" i="1"/>
  <c r="R56" i="1"/>
  <c r="R57" i="1"/>
  <c r="R54" i="1"/>
  <c r="R58" i="1"/>
  <c r="J67" i="1" l="1"/>
  <c r="J28" i="1"/>
  <c r="J62" i="1"/>
  <c r="J27" i="1"/>
  <c r="J30" i="1"/>
  <c r="J61" i="1"/>
  <c r="J63" i="1"/>
  <c r="R12" i="1"/>
  <c r="J26" i="1"/>
  <c r="J29" i="1"/>
  <c r="J31" i="1"/>
  <c r="J59" i="1"/>
  <c r="J24" i="1"/>
  <c r="N61" i="1"/>
  <c r="N63" i="1"/>
  <c r="N62" i="1"/>
  <c r="N67" i="1"/>
  <c r="R15" i="1" l="1"/>
  <c r="R17" i="1"/>
  <c r="R13" i="1"/>
  <c r="R14" i="1"/>
  <c r="G69" i="1"/>
  <c r="N81" i="1" l="1"/>
  <c r="N82" i="1"/>
  <c r="N75" i="1"/>
  <c r="N83" i="1"/>
  <c r="N76" i="1"/>
  <c r="N84" i="1"/>
  <c r="N77" i="1"/>
  <c r="N74" i="1"/>
  <c r="M47" i="1"/>
  <c r="N17" i="1"/>
  <c r="N18" i="1"/>
  <c r="N19" i="1"/>
  <c r="N31" i="1"/>
  <c r="M48" i="1"/>
  <c r="N16" i="1"/>
  <c r="N30" i="1"/>
  <c r="N38" i="1"/>
  <c r="N48" i="1"/>
  <c r="N46" i="1"/>
  <c r="N34" i="1"/>
  <c r="N41" i="1"/>
  <c r="N43" i="1"/>
  <c r="N27" i="1"/>
  <c r="N32" i="1"/>
  <c r="N36" i="1"/>
  <c r="R60" i="1"/>
  <c r="R61" i="1" s="1"/>
  <c r="N45" i="1"/>
  <c r="J18" i="1"/>
  <c r="R18" i="1" s="1"/>
  <c r="N42" i="1"/>
  <c r="N33" i="1"/>
  <c r="N40" i="1"/>
  <c r="N47" i="1"/>
  <c r="N28" i="1"/>
  <c r="N35" i="1"/>
  <c r="N49" i="1"/>
  <c r="J16" i="1"/>
  <c r="R16" i="1" s="1"/>
  <c r="J22" i="1"/>
  <c r="R22" i="1" s="1"/>
  <c r="R62" i="1" l="1"/>
  <c r="R63" i="1"/>
  <c r="R67" i="1"/>
  <c r="F69" i="1"/>
  <c r="M53" i="1" l="1"/>
  <c r="O53" i="1"/>
  <c r="R53" i="1" s="1"/>
  <c r="M81" i="1"/>
  <c r="M82" i="1"/>
  <c r="M75" i="1"/>
  <c r="M77" i="1"/>
  <c r="M83" i="1"/>
  <c r="M76" i="1"/>
  <c r="M84" i="1"/>
  <c r="M74" i="1"/>
  <c r="L38" i="1"/>
  <c r="E69" i="1" s="1"/>
  <c r="K24" i="1" s="1"/>
  <c r="D69" i="1" s="1"/>
  <c r="M30" i="1"/>
  <c r="M38" i="1"/>
  <c r="L43" i="1"/>
  <c r="M66" i="1"/>
  <c r="M33" i="1"/>
  <c r="M34" i="1"/>
  <c r="M41" i="1"/>
  <c r="M43" i="1"/>
  <c r="M56" i="1"/>
  <c r="M59" i="1"/>
  <c r="M57" i="1"/>
  <c r="M29" i="1"/>
  <c r="M64" i="1"/>
  <c r="M27" i="1"/>
  <c r="M32" i="1"/>
  <c r="M40" i="1"/>
  <c r="M42" i="1"/>
  <c r="M58" i="1"/>
  <c r="M65" i="1"/>
  <c r="M31" i="1"/>
  <c r="M35" i="1"/>
  <c r="R44" i="1"/>
  <c r="M54" i="1"/>
  <c r="L40" i="1"/>
  <c r="L42" i="1"/>
  <c r="I71" i="3" l="1"/>
  <c r="I72" i="3"/>
  <c r="I69" i="3"/>
  <c r="I70" i="3"/>
  <c r="I67" i="3"/>
  <c r="I68" i="3"/>
  <c r="I73" i="3"/>
  <c r="L84" i="1"/>
  <c r="L77" i="1"/>
  <c r="L81" i="1"/>
  <c r="L82" i="1"/>
  <c r="L75" i="1"/>
  <c r="L83" i="1"/>
  <c r="L76" i="1"/>
  <c r="L74" i="1"/>
  <c r="K26" i="1"/>
  <c r="M45" i="1"/>
  <c r="R50" i="1"/>
  <c r="R47" i="1"/>
  <c r="R48" i="1"/>
  <c r="L34" i="1" l="1"/>
  <c r="L28" i="1"/>
  <c r="L36" i="1"/>
  <c r="M49" i="1"/>
  <c r="R49" i="1" s="1"/>
  <c r="L29" i="1"/>
  <c r="L46" i="1"/>
  <c r="L64" i="1"/>
  <c r="N66" i="1"/>
  <c r="R66" i="1" s="1"/>
  <c r="N64" i="1"/>
  <c r="R64" i="1" s="1"/>
  <c r="L33" i="1"/>
  <c r="M46" i="1"/>
  <c r="R46" i="1" s="1"/>
  <c r="L35" i="1"/>
  <c r="L45" i="1"/>
  <c r="N65" i="1"/>
  <c r="R65" i="1" s="1"/>
  <c r="L31" i="1"/>
  <c r="R37" i="1"/>
  <c r="R45" i="1"/>
  <c r="L30" i="1"/>
  <c r="L32" i="1"/>
  <c r="L27" i="1"/>
  <c r="K30" i="1"/>
  <c r="K28" i="1"/>
  <c r="K25" i="1"/>
  <c r="K27" i="1"/>
  <c r="K31" i="1"/>
  <c r="K36" i="1"/>
  <c r="K32" i="1"/>
  <c r="K34" i="1"/>
  <c r="K33" i="1"/>
  <c r="K29" i="1"/>
  <c r="R39" i="1" l="1"/>
  <c r="R40" i="1"/>
  <c r="R38" i="1"/>
  <c r="R43" i="1"/>
  <c r="R42" i="1"/>
  <c r="R41" i="1"/>
  <c r="P75" i="1" l="1"/>
  <c r="R75" i="1" s="1"/>
  <c r="P77" i="1"/>
  <c r="P83" i="1"/>
  <c r="R83" i="1" s="1"/>
  <c r="P82" i="1"/>
  <c r="R82" i="1" s="1"/>
  <c r="P81" i="1"/>
  <c r="R81" i="1" s="1"/>
  <c r="P76" i="1"/>
  <c r="R76" i="1" s="1"/>
  <c r="P74" i="1"/>
  <c r="R74" i="1" s="1"/>
  <c r="R77" i="1"/>
  <c r="K84" i="1"/>
  <c r="K77" i="1"/>
  <c r="K81" i="1"/>
  <c r="K83" i="1"/>
  <c r="K76" i="1"/>
  <c r="K82" i="1"/>
  <c r="K75" i="1"/>
  <c r="P84" i="1"/>
  <c r="R84" i="1" s="1"/>
  <c r="K74" i="1"/>
  <c r="J21" i="1"/>
  <c r="R21" i="1" s="1"/>
  <c r="K59" i="1"/>
  <c r="R23" i="1"/>
  <c r="J20" i="1"/>
  <c r="R20" i="1" s="1"/>
  <c r="J19" i="1"/>
  <c r="R19" i="1" s="1"/>
  <c r="R35" i="1" l="1"/>
  <c r="R24" i="1"/>
  <c r="R26" i="1"/>
  <c r="R32" i="1"/>
  <c r="R31" i="1"/>
  <c r="R25" i="1"/>
  <c r="R33" i="1"/>
  <c r="R27" i="1"/>
  <c r="R28" i="1"/>
  <c r="R30" i="1"/>
  <c r="R34" i="1"/>
  <c r="R36" i="1"/>
  <c r="R29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3A59CA4D-3402-4B14-8547-A81491C41282}" keepAlive="1" name="Abfrage - Düngemittelpreise           Preisermittlung der Landwirtschaftskammer für di (2)" description="Verbindung mit der Abfrage 'Düngemittelpreise           Preisermittlung der Landwirtschaftskammer für di (2)' in der Arbeitsmappe." type="5" refreshedVersion="8" background="1" saveData="1">
    <dbPr connection="Provider=Microsoft.Mashup.OleDb.1;Data Source=$Workbook$;Location=&quot;Düngemittelpreise           Preisermittlung der Landwirtschaftskammer für di (2)&quot;;Extended Properties=&quot;&quot;" command="SELECT * FROM [Düngemittelpreise           Preisermittlung der Landwirtschaftskammer für di (2)]"/>
  </connection>
  <connection id="2" xr16:uid="{A87C41B9-DFF4-477F-B954-3DEF4C1F2249}" keepAlive="1" name="Abfrage - Düngemittelpreise           Preisermittlung der Landwirtschaftskammer für die 08" description="Verbindung mit der Abfrage 'Düngemittelpreise           Preisermittlung der Landwirtschaftskammer für die 08' in der Arbeitsmappe." type="5" refreshedVersion="8" background="1" saveData="1">
    <dbPr connection="Provider=Microsoft.Mashup.OleDb.1;Data Source=$Workbook$;Location=&quot;Düngemittelpreise           Preisermittlung der Landwirtschaftskammer für die 08&quot;;Extended Properties=&quot;&quot;" command="SELECT * FROM [Düngemittelpreise           Preisermittlung der Landwirtschaftskammer für die 08]"/>
  </connection>
  <connection id="3" xr16:uid="{FBAC5704-A0E0-447B-9732-49430E21145B}" keepAlive="1" name="Abfrage - Düngemittelpreise           Preisermittlung der Landwirtschaftskammer für die 14" description="Verbindung mit der Abfrage 'Düngemittelpreise           Preisermittlung der Landwirtschaftskammer für die 14' in der Arbeitsmappe." type="5" refreshedVersion="0" background="1" saveData="1">
    <dbPr connection="Provider=Microsoft.Mashup.OleDb.1;Data Source=$Workbook$;Location=&quot;Düngemittelpreise           Preisermittlung der Landwirtschaftskammer für die 14&quot;;Extended Properties=&quot;&quot;" command="SELECT * FROM [Düngemittelpreise           Preisermittlung der Landwirtschaftskammer für die 14]"/>
  </connection>
  <connection id="4" xr16:uid="{66031748-AF2C-4EEE-9437-04BF1C0BE328}" keepAlive="1" name="Abfrage - Düngemittelpreise___________Preisermittlung_der_Landwirtschaftskammer_für_die_14" description="Verbindung mit der Abfrage 'Düngemittelpreise___________Preisermittlung_der_Landwirtschaftskammer_für_die_14' in der Arbeitsmappe." type="5" refreshedVersion="0" background="1" saveData="1">
    <dbPr connection="Provider=Microsoft.Mashup.OleDb.1;Data Source=$Workbook$;Location=Düngemittelpreise___________Preisermittlung_der_Landwirtschaftskammer_für_die_14;Extended Properties=&quot;&quot;" command="SELECT * FROM [Düngemittelpreise___________Preisermittlung_der_Landwirtschaftskammer_für_die_14]"/>
  </connection>
  <connection id="5" xr16:uid="{8D99B86A-4733-4119-B02D-F9F7433909F5}" keepAlive="1" name="Abfrage - Tabelle 1" description="Verbindung mit der Abfrage 'Tabelle 1' in der Arbeitsmappe." type="5" refreshedVersion="8" background="1" saveData="1">
    <dbPr connection="Provider=Microsoft.Mashup.OleDb.1;Data Source=$Workbook$;Location=&quot;Tabelle 1&quot;;Extended Properties=&quot;&quot;" command="SELECT * FROM [Tabelle 1]"/>
  </connection>
</connections>
</file>

<file path=xl/sharedStrings.xml><?xml version="1.0" encoding="utf-8"?>
<sst xmlns="http://schemas.openxmlformats.org/spreadsheetml/2006/main" count="1497" uniqueCount="602">
  <si>
    <t>Kostenvergleich Düngung, 500 ha Betrieb</t>
  </si>
  <si>
    <t>Preisvergleich Düngemittel</t>
  </si>
  <si>
    <t>PREISBASIS:  Listenpreise/Tagespreise für:</t>
  </si>
  <si>
    <t>30.Juni</t>
  </si>
  <si>
    <t>o.MwSt., frei Hof, lose, ab 25 t, Frachtstandort Ost-Niedersachsen</t>
  </si>
  <si>
    <t>Kalkausgleich in Nährstoffpreiskalkulation  (ja/nein)</t>
  </si>
  <si>
    <t>ja</t>
  </si>
  <si>
    <t>Schwefelausgl. in Nähstoffpreiskalkulation (ja/nein)</t>
  </si>
  <si>
    <t xml:space="preserve"> </t>
  </si>
  <si>
    <t xml:space="preserve">  Nährstoffgehalte  in  kg/dt</t>
  </si>
  <si>
    <t>Kalk-</t>
  </si>
  <si>
    <t>Netto-</t>
  </si>
  <si>
    <t>Preise für den Reinnährstoff ohne</t>
  </si>
  <si>
    <t>wertvolle</t>
  </si>
  <si>
    <t xml:space="preserve">Kosten </t>
  </si>
  <si>
    <t>KNZ</t>
  </si>
  <si>
    <t>Düngersorte</t>
  </si>
  <si>
    <t>Bilanz</t>
  </si>
  <si>
    <t>preis</t>
  </si>
  <si>
    <t>Mwst. nach Kalkausgleich (€ /kg)</t>
  </si>
  <si>
    <t>Nebenbe-</t>
  </si>
  <si>
    <t>relativ zu</t>
  </si>
  <si>
    <t>N</t>
  </si>
  <si>
    <t>MgO</t>
  </si>
  <si>
    <t>S</t>
  </si>
  <si>
    <t>CaO</t>
  </si>
  <si>
    <t>€ /dt</t>
  </si>
  <si>
    <t>standteile</t>
  </si>
  <si>
    <t>Referenzpr.</t>
  </si>
  <si>
    <t>Berechnung N-Preis</t>
  </si>
  <si>
    <t xml:space="preserve">€ </t>
  </si>
  <si>
    <t>%</t>
  </si>
  <si>
    <t xml:space="preserve">   </t>
  </si>
  <si>
    <t>Berechnung Mg0-Preis</t>
  </si>
  <si>
    <t>Berechnung Ca0-Preis</t>
  </si>
  <si>
    <t xml:space="preserve"> %</t>
  </si>
  <si>
    <t>Berechnung S-Preis</t>
  </si>
  <si>
    <t>* Referenzpreise</t>
  </si>
  <si>
    <t>P205</t>
  </si>
  <si>
    <t>K20</t>
  </si>
  <si>
    <t xml:space="preserve"> in € /kg ohne MwSt.</t>
  </si>
  <si>
    <t>(Sie werden automatisch zur Berechnung herangezogen)</t>
  </si>
  <si>
    <t>,</t>
  </si>
  <si>
    <t>N verfügbar</t>
  </si>
  <si>
    <t>Bezeichnung</t>
  </si>
  <si>
    <t>Preis</t>
  </si>
  <si>
    <t>Reinnährstoffwert</t>
  </si>
  <si>
    <t>Referenz Preis</t>
  </si>
  <si>
    <t>Relativ zur Referenz</t>
  </si>
  <si>
    <t>Bitte in den weißen Feldern eigene Dünger eintragen!</t>
  </si>
  <si>
    <t>€/dt</t>
  </si>
  <si>
    <t>KAS Beispiel</t>
  </si>
  <si>
    <t>HAS Beispiel</t>
  </si>
  <si>
    <t>NP 20/20</t>
  </si>
  <si>
    <t>€/t</t>
  </si>
  <si>
    <t>Gülle Frühjahr Beispiel</t>
  </si>
  <si>
    <t>Ohre Gärrest</t>
  </si>
  <si>
    <t xml:space="preserve">HTK </t>
  </si>
  <si>
    <t>Putenmist</t>
  </si>
  <si>
    <t>Umrechnungsfaktoren für Mineralformen</t>
  </si>
  <si>
    <t>Calcium</t>
  </si>
  <si>
    <t>Ca</t>
  </si>
  <si>
    <t>x</t>
  </si>
  <si>
    <t>=</t>
  </si>
  <si>
    <t>Magnesium</t>
  </si>
  <si>
    <t>Mg</t>
  </si>
  <si>
    <t>CaCO3</t>
  </si>
  <si>
    <t xml:space="preserve">MgO </t>
  </si>
  <si>
    <t>MgCO3</t>
  </si>
  <si>
    <t>Phosphor</t>
  </si>
  <si>
    <t>P</t>
  </si>
  <si>
    <t>P2O5</t>
  </si>
  <si>
    <t>Kalium</t>
  </si>
  <si>
    <t>K</t>
  </si>
  <si>
    <t>K2O</t>
  </si>
  <si>
    <t>Achtung:  Zum Teil nur Einzelmeldungen und zeitlich begrenzte Kurse.
				Sortiere aufsteigend Sortiere absteigend</t>
  </si>
  <si>
    <t>Preise je dt (100 kg)!
				Sortiere aufsteigend Sortiere absteigend</t>
  </si>
  <si>
    <t>Sortiere aufsteigend Sortiere absteigend</t>
  </si>
  <si>
    <t/>
  </si>
  <si>
    <t>ab Handelslager 100 dt</t>
  </si>
  <si>
    <t>frei Hof (Strecke) mind. 250 dt</t>
  </si>
  <si>
    <t>Düngemittel</t>
  </si>
  <si>
    <t>von</t>
  </si>
  <si>
    <t>bis</t>
  </si>
  <si>
    <t>Mittelwert</t>
  </si>
  <si>
    <t>Kalkamonsalpeter 27 % N</t>
  </si>
  <si>
    <t>Harnstoff, 46 % N, stabilisiert</t>
  </si>
  <si>
    <t>Ammonnitrat-Harnstoff-Lösung AHL 28% N</t>
  </si>
  <si>
    <t>Diamonphosphat, 18% N + 46 % P2O5</t>
  </si>
  <si>
    <t>Triple-Phosphat, 46 % P2O5</t>
  </si>
  <si>
    <t>40er Kornkali + Mg 40 % K2O+6%MgO</t>
  </si>
  <si>
    <t>Magnesia-Kainit 11 % K2O+5%MgO</t>
  </si>
  <si>
    <t>Kalimagnesia 30 % K2O+ 10%MgO/Patentkali</t>
  </si>
  <si>
    <t>Schwefelsaures Amoniak 21% N + 24% S,</t>
  </si>
  <si>
    <t>Piamon</t>
  </si>
  <si>
    <t>Ammonsulfatsalpeter 26% N + 13 %S</t>
  </si>
  <si>
    <t>Kohlensauer Kalk, 80 % CaCO3 + 5 MgCO3</t>
  </si>
  <si>
    <t>Alzon</t>
  </si>
  <si>
    <t>0,00 - 0,00</t>
  </si>
  <si>
    <t>Sulfan 24%N + 6%S</t>
  </si>
  <si>
    <t>YaraMila Mais (19% N, 17% P2O5 , 6S)</t>
  </si>
  <si>
    <t>Maisdünger NP 20/20</t>
  </si>
  <si>
    <t>Kieserit, 25/20</t>
  </si>
  <si>
    <t>Volldünger, 15/5/15</t>
  </si>
  <si>
    <t>Hintergrundtabelle: Nährstoffgehalte von Düngemitteln (kg/100 kg Dünger) und Bewertung (DM/dt)</t>
  </si>
  <si>
    <r>
      <t>P</t>
    </r>
    <r>
      <rPr>
        <vertAlign val="subscript"/>
        <sz val="11"/>
        <rFont val="Arial"/>
        <family val="2"/>
      </rPr>
      <t>2</t>
    </r>
    <r>
      <rPr>
        <sz val="11"/>
        <rFont val="Arial"/>
        <family val="2"/>
      </rPr>
      <t>O</t>
    </r>
    <r>
      <rPr>
        <vertAlign val="subscript"/>
        <sz val="11"/>
        <rFont val="Arial"/>
        <family val="2"/>
      </rPr>
      <t>5</t>
    </r>
  </si>
  <si>
    <r>
      <t>K</t>
    </r>
    <r>
      <rPr>
        <vertAlign val="subscript"/>
        <sz val="11"/>
        <rFont val="Arial"/>
        <family val="2"/>
      </rPr>
      <t>2</t>
    </r>
    <r>
      <rPr>
        <sz val="11"/>
        <rFont val="Arial"/>
        <family val="2"/>
      </rPr>
      <t>O</t>
    </r>
  </si>
  <si>
    <t>Kalkwert CaO</t>
  </si>
  <si>
    <t>Qualitäts-unterschiede</t>
  </si>
  <si>
    <t>Preisidee frei Hof</t>
  </si>
  <si>
    <t>Harnstoff geprillt</t>
  </si>
  <si>
    <t>Alzon flüssig</t>
  </si>
  <si>
    <t>N-Düngerlösung mit Schwefel</t>
  </si>
  <si>
    <t>Kalksalpeter</t>
  </si>
  <si>
    <t>Stickstoffmagnesia</t>
  </si>
  <si>
    <t>Ammon-Thio-Sulfat</t>
  </si>
  <si>
    <t>Kalkstickstoff</t>
  </si>
  <si>
    <t>Perlkalkstickstoff</t>
  </si>
  <si>
    <t>Monoammonphosphat</t>
  </si>
  <si>
    <t>NP-Lösung 10+34</t>
  </si>
  <si>
    <t>NP 20+20</t>
  </si>
  <si>
    <t>NP 26+14</t>
  </si>
  <si>
    <t>NP 22+22</t>
  </si>
  <si>
    <t>NP 24+14</t>
  </si>
  <si>
    <t>NP 26+7</t>
  </si>
  <si>
    <t>Nitrophoska 24+8+8</t>
  </si>
  <si>
    <t>Nitrophoska 21+8+11</t>
  </si>
  <si>
    <t>Nitrophoska 20+10+10</t>
  </si>
  <si>
    <t>Nitrophoska 14+10+20</t>
  </si>
  <si>
    <t>NPK 13+9+16+4</t>
  </si>
  <si>
    <t>NPK 6+12+18</t>
  </si>
  <si>
    <t>NPK 10+15+20</t>
  </si>
  <si>
    <t>NPK 12+12+17+2</t>
  </si>
  <si>
    <t>NPK 13+13+21</t>
  </si>
  <si>
    <t>NPK 14+10+20</t>
  </si>
  <si>
    <t>NPK 16+16+16</t>
  </si>
  <si>
    <t>NPK 15+9+15+2</t>
  </si>
  <si>
    <t>NPK 15+15+15</t>
  </si>
  <si>
    <t>NPK 20+8+11+2</t>
  </si>
  <si>
    <t>NPK 15+5+20+2</t>
  </si>
  <si>
    <t>NPK 13+9+16+4+7</t>
  </si>
  <si>
    <t>NPK 20+5+8+2</t>
  </si>
  <si>
    <t>NPK 16+9+14+3</t>
  </si>
  <si>
    <t>NPK 20+6+11</t>
  </si>
  <si>
    <t>NPK 6,5+16,5+25,6+3,8+2,6</t>
  </si>
  <si>
    <t>NPK 20+8+8+3+4</t>
  </si>
  <si>
    <t>Superphosphat</t>
  </si>
  <si>
    <t>Thomasphosphat</t>
  </si>
  <si>
    <t>Novaphosphat</t>
  </si>
  <si>
    <t>Hyperphosphat</t>
  </si>
  <si>
    <t>60er Kali</t>
  </si>
  <si>
    <t>Kalisulfat</t>
  </si>
  <si>
    <t>Kieserit fein</t>
  </si>
  <si>
    <t>Bittersalz</t>
  </si>
  <si>
    <t>Rhe-Ka-Phos 9+25</t>
  </si>
  <si>
    <t>Rhe-Ka-Phos 14+24</t>
  </si>
  <si>
    <t>Rhe-Ka-Phos 20+30</t>
  </si>
  <si>
    <t>Rhe-Ka-Phos 12+19</t>
  </si>
  <si>
    <t>Rhe-Ka-Phos 15+20</t>
  </si>
  <si>
    <t>Rhe-Ka-Phos 10+21+4</t>
  </si>
  <si>
    <t>Rhe-Ka-Phos 14+8+8</t>
  </si>
  <si>
    <t>Rhe-Ka-Phos 15+15+4</t>
  </si>
  <si>
    <t>PK-Dünger 12+24 teilaufg.</t>
  </si>
  <si>
    <t>PK-Dünger 15+20 teilaufg.</t>
  </si>
  <si>
    <t>PK-Dünger 16+12 teilaufg.</t>
  </si>
  <si>
    <t>PK-Dünger 16+16 teilaufg.</t>
  </si>
  <si>
    <t>PK-Dünger 18+10 teilaufg.</t>
  </si>
  <si>
    <t>PK-Dünger 12+19+4 teilaufg.</t>
  </si>
  <si>
    <t>PK-Dünger 14+14+4 teilaufg.</t>
  </si>
  <si>
    <t>Thomaskali 7+21+3</t>
  </si>
  <si>
    <t>Thomaskali 10+20+3</t>
  </si>
  <si>
    <t>Thomaskali 12+18+3</t>
  </si>
  <si>
    <t>Thomaskali 10+15+3</t>
  </si>
  <si>
    <t>Thomaskali 8+15+6</t>
  </si>
  <si>
    <t>Thomaskali 11+11+4</t>
  </si>
  <si>
    <t>Thomaskali 14+8+4</t>
  </si>
  <si>
    <t>Thomassulfatkali 8+14+4</t>
  </si>
  <si>
    <t>Kohlensaurer Kalk 90</t>
  </si>
  <si>
    <t>Kohlensaurer Kalk 85</t>
  </si>
  <si>
    <t>Kohlensaurer Kalk 80</t>
  </si>
  <si>
    <t>Kohlensaurer Kalk 70+15</t>
  </si>
  <si>
    <t>Kohlensaurer Kalk 50+25</t>
  </si>
  <si>
    <t>Kohlensaurer Kalk 50+35</t>
  </si>
  <si>
    <t>Branntkalk 90</t>
  </si>
  <si>
    <t>Branntkalk 85</t>
  </si>
  <si>
    <t>Branntkalk 80</t>
  </si>
  <si>
    <t>Branntkalk 75</t>
  </si>
  <si>
    <t>Konverterkalk</t>
  </si>
  <si>
    <t>Konverterkalk feucht körnig</t>
  </si>
  <si>
    <t>Hüttenkalk fein</t>
  </si>
  <si>
    <t>Hüttenkalk gekörnt</t>
  </si>
  <si>
    <t>Thomaskalk 4</t>
  </si>
  <si>
    <t>Thomaskalk 8</t>
  </si>
  <si>
    <t>Carbokalk 45</t>
  </si>
  <si>
    <t>Fastlime</t>
  </si>
  <si>
    <t>neue Düngemittel</t>
  </si>
  <si>
    <t>Piasan 24 S flüssig</t>
  </si>
  <si>
    <t>Harnstoff, Schwefel</t>
  </si>
  <si>
    <t>Schwefel</t>
  </si>
  <si>
    <t>organische Düngemittel</t>
  </si>
  <si>
    <t xml:space="preserve">    Nährstoffgehalte   in    kg / t oder m³</t>
  </si>
  <si>
    <t>Wirkung</t>
  </si>
  <si>
    <t>Frischer Mist</t>
  </si>
  <si>
    <t>gemischt</t>
  </si>
  <si>
    <t>Rindvieh</t>
  </si>
  <si>
    <t>Pferd</t>
  </si>
  <si>
    <t>Schaf</t>
  </si>
  <si>
    <t>Schwein</t>
  </si>
  <si>
    <t>Tauben/Hühner</t>
  </si>
  <si>
    <t>Enten/Gänse</t>
  </si>
  <si>
    <t>Reifer Mist</t>
  </si>
  <si>
    <t>Rindermist</t>
  </si>
  <si>
    <t>Schweinemist</t>
  </si>
  <si>
    <t>Pferdemist</t>
  </si>
  <si>
    <t>Schafmist</t>
  </si>
  <si>
    <t>Hühnermist</t>
  </si>
  <si>
    <t>Erdkompost</t>
  </si>
  <si>
    <t>Torfkompost</t>
  </si>
  <si>
    <t>Klärschlamm</t>
  </si>
  <si>
    <t>Müllerde</t>
  </si>
  <si>
    <t xml:space="preserve">    Nährstoffgehalte   in    kg / m³</t>
  </si>
  <si>
    <t>Gülle/Kot*</t>
  </si>
  <si>
    <t>Rindergülle</t>
  </si>
  <si>
    <t>Schweinegülle</t>
  </si>
  <si>
    <t>Hühnergülle</t>
  </si>
  <si>
    <t>Hühnertrockenkot</t>
  </si>
  <si>
    <t>* Der Nährstoffgehalt organischer Dünger wird praxisüblich monetär nicht bewertet.</t>
  </si>
  <si>
    <t>2.0</t>
  </si>
  <si>
    <t>Düngungsvoranschlag</t>
  </si>
  <si>
    <t>Feldfrucht</t>
  </si>
  <si>
    <t>Anbau</t>
  </si>
  <si>
    <t>Ertrag</t>
  </si>
  <si>
    <t>ha</t>
  </si>
  <si>
    <t>dt/ha</t>
  </si>
  <si>
    <t>kg/ha</t>
  </si>
  <si>
    <t>Gesamtfläche</t>
  </si>
  <si>
    <t>Bedarf in der Fruchtfolge</t>
  </si>
  <si>
    <t>Austrags- / Eintragsaldo Umwelt</t>
  </si>
  <si>
    <t xml:space="preserve">    Summe</t>
  </si>
  <si>
    <t>3.0</t>
  </si>
  <si>
    <t>Kostenvergleich Düngungsverfahren</t>
  </si>
  <si>
    <t>3.1</t>
  </si>
  <si>
    <t>konsequente Kostenminimierung</t>
  </si>
  <si>
    <t>Aufwand</t>
  </si>
  <si>
    <t>Kosten</t>
  </si>
  <si>
    <t>DM/ha</t>
  </si>
  <si>
    <t>Summe Dünger</t>
  </si>
  <si>
    <t>Kontrolle</t>
  </si>
  <si>
    <t>Ausbringungsverfahren</t>
  </si>
  <si>
    <t>Einh.</t>
  </si>
  <si>
    <t>DM je</t>
  </si>
  <si>
    <t>Arbeits-</t>
  </si>
  <si>
    <t>Zu-/Ab-</t>
  </si>
  <si>
    <t>Zu- und Abschläge z.B. je nach:</t>
  </si>
  <si>
    <t>gänge</t>
  </si>
  <si>
    <t>schlag</t>
  </si>
  <si>
    <t>- Häufigkeit in der Fruchtfolge</t>
  </si>
  <si>
    <t>- Menge und Betriebsgröße</t>
  </si>
  <si>
    <t>- Schlaggröße</t>
  </si>
  <si>
    <t>- auszubringender Menge</t>
  </si>
  <si>
    <t>- Hof- Feldentfernung</t>
  </si>
  <si>
    <t>Summe Ausbringungskosten</t>
  </si>
  <si>
    <t>-Kombinationen, Rücktransporte</t>
  </si>
  <si>
    <t>Lagerung</t>
  </si>
  <si>
    <t>Menge</t>
  </si>
  <si>
    <t>Summe Lagerkosten</t>
  </si>
  <si>
    <t>Transport</t>
  </si>
  <si>
    <t>Summe Transportkosten</t>
  </si>
  <si>
    <t>Düngungskosten je ha im Durchschnitt des gewählten Anbauverhältnisses</t>
  </si>
  <si>
    <t>AHL + TSP + Kali 60 + ks.Kalk   (Spritze+Kreiselstreuer)</t>
  </si>
  <si>
    <t>3.2</t>
  </si>
  <si>
    <t>HS gekörnt + TSP + Kali 60 + ks.Kalk (Kreiselstreuer)</t>
  </si>
  <si>
    <t>3.3</t>
  </si>
  <si>
    <t>HS geprillt + TSP + Kali 60 + ks.Kalk (Auslegerstreuer)</t>
  </si>
  <si>
    <t>3.4</t>
  </si>
  <si>
    <t>HS gekörnt + PK 14+24 + ks.Kalk (Kreiselstreuer)</t>
  </si>
  <si>
    <t>3.5</t>
  </si>
  <si>
    <t>NPK 7+17+26 ( + HS geprillt ) + ks.Kalk (Auslegerstreuer)</t>
  </si>
  <si>
    <t>3.6</t>
  </si>
  <si>
    <t>HS gekörnt + MAP + Kali 60 + ks.Kalk (Kreiselstreuer)</t>
  </si>
  <si>
    <t>3.7</t>
  </si>
  <si>
    <t>HS gekörnt + TSP + Kali 40 + ks Kalk  (Kreiselstreuer)</t>
  </si>
  <si>
    <t>4.0</t>
  </si>
  <si>
    <t>NÄHRSTOFFBILANZ als HOFTORBILANZ, gemäß § 5 DüVO*</t>
  </si>
  <si>
    <t>jährliche Nährstoffabfuhr durch Erntegut</t>
  </si>
  <si>
    <t>Erntegut</t>
  </si>
  <si>
    <t>Nährstoffabfuhr durch Erntegut ("aus dem Hoftor")*</t>
  </si>
  <si>
    <t>Nährstoffzufuhr durch Düngung ("in das Hoftor")*</t>
  </si>
  <si>
    <t>* Prinzip Landwirtschaftskammer Hannover</t>
  </si>
  <si>
    <t>Zusammenfassung der Verfahrenskosten frei Wurzel</t>
  </si>
  <si>
    <t>Düngungsverfahren</t>
  </si>
  <si>
    <t>Dünger-</t>
  </si>
  <si>
    <t>Lager-</t>
  </si>
  <si>
    <t>Transport-</t>
  </si>
  <si>
    <t>Gesamt-</t>
  </si>
  <si>
    <t>Index</t>
  </si>
  <si>
    <t>kosten</t>
  </si>
  <si>
    <t>2.1</t>
  </si>
  <si>
    <t>2.2</t>
  </si>
  <si>
    <t>2.3</t>
  </si>
  <si>
    <t>2.4</t>
  </si>
  <si>
    <t>2.5</t>
  </si>
  <si>
    <t>2.6</t>
  </si>
  <si>
    <t>2.7</t>
  </si>
  <si>
    <t>Deecke, Betriebswirtschaftliches Büro Göttingen.</t>
  </si>
  <si>
    <t>Hintergrundtabelle:</t>
  </si>
  <si>
    <t>Nährstoffbedarf der jeweiligen Frucht in g/kg Erntemenge</t>
  </si>
  <si>
    <t>Nähstoffentzüge der Frischmasse in g/kg der jeweilgen Frucht</t>
  </si>
  <si>
    <t>Na</t>
  </si>
  <si>
    <t>Umrechnungsfaktoren</t>
  </si>
  <si>
    <t>W-Weizen</t>
  </si>
  <si>
    <t>Korn</t>
  </si>
  <si>
    <t>P     ---&gt;  P2O5</t>
  </si>
  <si>
    <t>W-Weiz.stroh</t>
  </si>
  <si>
    <t>Stroh</t>
  </si>
  <si>
    <t>K      ---&gt; K2O</t>
  </si>
  <si>
    <t>Back-Weizen</t>
  </si>
  <si>
    <t>Ca    ---&gt;  CaO</t>
  </si>
  <si>
    <t>Mg   ---&gt;  MgO</t>
  </si>
  <si>
    <t>W-Gerste</t>
  </si>
  <si>
    <t>W-Gerst.stroh</t>
  </si>
  <si>
    <t>Roggen</t>
  </si>
  <si>
    <t>Roggen-Stroh</t>
  </si>
  <si>
    <t>Triticale</t>
  </si>
  <si>
    <t>Anmerkung:</t>
  </si>
  <si>
    <t>Triticale-Stroh</t>
  </si>
  <si>
    <t>Der N-Bedarf für Getreide und Raps ist</t>
  </si>
  <si>
    <t>S-Gerste</t>
  </si>
  <si>
    <t>selbst eingesetzt, angelehnt an die</t>
  </si>
  <si>
    <t>S-Gerst.stroh</t>
  </si>
  <si>
    <t>Düngung der BB-Betriebe im BV-RS 97.</t>
  </si>
  <si>
    <t>Braugerste</t>
  </si>
  <si>
    <t>Der N-Bedarf von Rüben, Erbsen und</t>
  </si>
  <si>
    <t>Kartoffeln ist den Angaben der Dünge-</t>
  </si>
  <si>
    <t>Hafer</t>
  </si>
  <si>
    <t>verordnung entnommen. Alle weiteren</t>
  </si>
  <si>
    <t>Hafer-Stroh</t>
  </si>
  <si>
    <t>Angaben entstammen LBB-Quellen.</t>
  </si>
  <si>
    <t>Körnermais/LKS</t>
  </si>
  <si>
    <t>Ackerbohnen</t>
  </si>
  <si>
    <t>Erbsen</t>
  </si>
  <si>
    <t>Raps</t>
  </si>
  <si>
    <t>Samen</t>
  </si>
  <si>
    <t>Sonnenblumen</t>
  </si>
  <si>
    <t>Lein</t>
  </si>
  <si>
    <t>Leinstroh</t>
  </si>
  <si>
    <t>Hanf</t>
  </si>
  <si>
    <t>Kartoffeln</t>
  </si>
  <si>
    <t>Knolle</t>
  </si>
  <si>
    <t>Zuckerrüben</t>
  </si>
  <si>
    <t>Rübe</t>
  </si>
  <si>
    <t>Zuckerr.Blatt</t>
  </si>
  <si>
    <t>Blatt</t>
  </si>
  <si>
    <t>Gehaltsrüben</t>
  </si>
  <si>
    <t>Massenrüben</t>
  </si>
  <si>
    <t>Silomais</t>
  </si>
  <si>
    <t>Teigreif</t>
  </si>
  <si>
    <t>Rotklee</t>
  </si>
  <si>
    <t>Bl. Luzerne 1.S</t>
  </si>
  <si>
    <t>frisch</t>
  </si>
  <si>
    <t>Ackergras</t>
  </si>
  <si>
    <t>Rotkleegrasgemisch</t>
  </si>
  <si>
    <t>1.Sch.</t>
  </si>
  <si>
    <t>Luzernegras</t>
  </si>
  <si>
    <t>Futterzwischenfrüchte</t>
  </si>
  <si>
    <t>Blumenkohl</t>
  </si>
  <si>
    <t>Brokkoli</t>
  </si>
  <si>
    <t>Buschbohnen Industrie</t>
  </si>
  <si>
    <t>Buschboh. Frischmarkt</t>
  </si>
  <si>
    <t>Chicoree</t>
  </si>
  <si>
    <t>Chinakohl</t>
  </si>
  <si>
    <t>Grünerbse Hülse</t>
  </si>
  <si>
    <t>Grünerbse Korn</t>
  </si>
  <si>
    <t>Grünkohl</t>
  </si>
  <si>
    <t>Kohlrabi</t>
  </si>
  <si>
    <t>Möhren Bund</t>
  </si>
  <si>
    <t>Möhren Wasch</t>
  </si>
  <si>
    <t xml:space="preserve">Petersilie </t>
  </si>
  <si>
    <t>Porree</t>
  </si>
  <si>
    <t>Rosenkohl</t>
  </si>
  <si>
    <t>Rote Rüben Bund</t>
  </si>
  <si>
    <t>Rote Rüben Knolle</t>
  </si>
  <si>
    <t xml:space="preserve">Rotkohl </t>
  </si>
  <si>
    <t>Sellerie Bund, Folie</t>
  </si>
  <si>
    <t>Sellerie Kn., Industrie</t>
  </si>
  <si>
    <t>Sellerie Stangen</t>
  </si>
  <si>
    <t>Spargel</t>
  </si>
  <si>
    <t>Spinat</t>
  </si>
  <si>
    <t>Weißkohl</t>
  </si>
  <si>
    <t>Wirsing</t>
  </si>
  <si>
    <t>Zwiebel</t>
  </si>
  <si>
    <t>Tabak</t>
  </si>
  <si>
    <t>frei  /  Stillegung</t>
  </si>
  <si>
    <t>S-Weizen</t>
  </si>
  <si>
    <t>S-Weiz.stroh</t>
  </si>
  <si>
    <t>Kart.-Kraut</t>
  </si>
  <si>
    <t>Kraut</t>
  </si>
  <si>
    <t>K.-maisstroh</t>
  </si>
  <si>
    <t>Ackerb.stroh</t>
  </si>
  <si>
    <t>Erbsen-Stroh</t>
  </si>
  <si>
    <t>Blaue Lupine</t>
  </si>
  <si>
    <t>Gelbe Lupine</t>
  </si>
  <si>
    <t>Sojabohne</t>
  </si>
  <si>
    <t>Serradella</t>
  </si>
  <si>
    <t>Weide 1.Aufw.</t>
  </si>
  <si>
    <t>Heu</t>
  </si>
  <si>
    <t>Ext.weide 1.A.</t>
  </si>
  <si>
    <t xml:space="preserve">Intens.weide </t>
  </si>
  <si>
    <t>Weide 1.Aufwu.</t>
  </si>
  <si>
    <t>Weide 2.Aufwu.</t>
  </si>
  <si>
    <t>Weide 3.Aufwu.</t>
  </si>
  <si>
    <t>Extensivweide</t>
  </si>
  <si>
    <t>Wiese 1.Aufw.</t>
  </si>
  <si>
    <t>Wiese 2.Aufw.</t>
  </si>
  <si>
    <t>Wiese 3.Aufw.</t>
  </si>
  <si>
    <t>Hintergrundtabelle:  Technik</t>
  </si>
  <si>
    <t>Kalk.</t>
  </si>
  <si>
    <t>Kosten je</t>
  </si>
  <si>
    <t>Kalk.-Einh.</t>
  </si>
  <si>
    <t>DM</t>
  </si>
  <si>
    <t>Stalldung ausbringen</t>
  </si>
  <si>
    <t>dt</t>
  </si>
  <si>
    <t>Gülle ausbringen mit Schleppschläuchen, 24 m</t>
  </si>
  <si>
    <t>m³</t>
  </si>
  <si>
    <t>Düngung AHL mit Feldspritze, 36 m</t>
  </si>
  <si>
    <t>Düngung mit Auslegerstreuer, 24 m</t>
  </si>
  <si>
    <t xml:space="preserve">Düngung mit Großbehälterstreuer </t>
  </si>
  <si>
    <t>Düngung AHL mit Feldspritze, 24 m</t>
  </si>
  <si>
    <t>Düngung mit Kreiselstreuer, 24 m</t>
  </si>
  <si>
    <t>Düngung Carbokalk im Lohnverfahren</t>
  </si>
  <si>
    <t>Düngung kohls.Kalk im Lohnverfahren</t>
  </si>
  <si>
    <t>Klärschlammausbringung</t>
  </si>
  <si>
    <t>Lagerkosten</t>
  </si>
  <si>
    <t>Dunglager/-platte</t>
  </si>
  <si>
    <t>Güllelager, hofeigen</t>
  </si>
  <si>
    <t>Mineraldüngerlager, hofeigen</t>
  </si>
  <si>
    <t>AHL-Lager, fremd</t>
  </si>
  <si>
    <t>AHL-Lager, hofeigen</t>
  </si>
  <si>
    <t>Transportkosten</t>
  </si>
  <si>
    <t>LKW-Lieferung unter 100 km</t>
  </si>
  <si>
    <t>LKW-Lieferung 100 km bis 200 km</t>
  </si>
  <si>
    <t>LKW-Lieferung über 200 km</t>
  </si>
  <si>
    <t>Schiffs-Fracht</t>
  </si>
  <si>
    <t>Bahn-Transport</t>
  </si>
  <si>
    <t xml:space="preserve"> Hintergrundtabelle:  Nährstoffgehalte im Haupt- und Nebenerntegut, nach § 5 DüVO</t>
  </si>
  <si>
    <t>Kultur</t>
  </si>
  <si>
    <t>TM-Gehalt Haupt-/</t>
  </si>
  <si>
    <t>durchschnittliche Ertragserwartung dt/ha</t>
  </si>
  <si>
    <t>Korn-/</t>
  </si>
  <si>
    <t>Nährstoffentzug der Ernte in kg/dt</t>
  </si>
  <si>
    <t>Neben-Erntegut</t>
  </si>
  <si>
    <t>leichte Böden</t>
  </si>
  <si>
    <t>schwere Böden</t>
  </si>
  <si>
    <t>Stroh-Verhältnis*</t>
  </si>
  <si>
    <t>Futter-Weizen-Korn</t>
  </si>
  <si>
    <t>1/</t>
  </si>
  <si>
    <t>Weizen-Stroh</t>
  </si>
  <si>
    <t>Back-Weizen-Korn</t>
  </si>
  <si>
    <t>Wintergerste-Korn</t>
  </si>
  <si>
    <t>Wintergerste-Stroh</t>
  </si>
  <si>
    <t>Winterroggen-Korn</t>
  </si>
  <si>
    <t>Winterroggen-Stroh</t>
  </si>
  <si>
    <t>Triticale-Korn</t>
  </si>
  <si>
    <t>Sommergerste-Korn</t>
  </si>
  <si>
    <t>Sommergerste-Stroh</t>
  </si>
  <si>
    <t>Braugerste-Korn</t>
  </si>
  <si>
    <t>Braugerste-Stroh</t>
  </si>
  <si>
    <t>Hafer-Korn</t>
  </si>
  <si>
    <t>Körnermais-Korn</t>
  </si>
  <si>
    <t>Ackerbohnen-Korn</t>
  </si>
  <si>
    <t>**</t>
  </si>
  <si>
    <t>Erbsen-Korn</t>
  </si>
  <si>
    <t>Raps-Korn</t>
  </si>
  <si>
    <t>Sonnenblumen-Korn</t>
  </si>
  <si>
    <t>Öllein-Korn</t>
  </si>
  <si>
    <t>Öllein-Stroh</t>
  </si>
  <si>
    <t>Kartoffel-Knollen</t>
  </si>
  <si>
    <t>Zuckerrüben-Rüben</t>
  </si>
  <si>
    <t>Zuckerrüben-Blatt</t>
  </si>
  <si>
    <t>Gehaltsrüben-Rüben</t>
  </si>
  <si>
    <t>Gehaltsrüben-Blatt</t>
  </si>
  <si>
    <t>Massenrüben-Rüben</t>
  </si>
  <si>
    <t>Massenrüben-Blatt</t>
  </si>
  <si>
    <t>Luzerne</t>
  </si>
  <si>
    <t>Kleegras</t>
  </si>
  <si>
    <t xml:space="preserve">TM-Gehalt </t>
  </si>
  <si>
    <t>Nr.</t>
  </si>
  <si>
    <t>Haupt-/Neben-Erntegut</t>
  </si>
  <si>
    <t>* bzw. Rübe-/Blattverhältnis</t>
  </si>
  <si>
    <t>** Bei diesen Produkten wurden die N-Bindung und N-Abfuhr bilanziert.</t>
  </si>
  <si>
    <t>Kosten-Düngertechnik</t>
  </si>
  <si>
    <t>Technik</t>
  </si>
  <si>
    <t>Acker-</t>
  </si>
  <si>
    <t>Ansch-</t>
  </si>
  <si>
    <t>Lebens-</t>
  </si>
  <si>
    <t>Jahres-</t>
  </si>
  <si>
    <t>AFA</t>
  </si>
  <si>
    <t>AfA</t>
  </si>
  <si>
    <t>Rep-</t>
  </si>
  <si>
    <t>Zins-</t>
  </si>
  <si>
    <t>Schlep-</t>
  </si>
  <si>
    <t>Fahrer</t>
  </si>
  <si>
    <t>Verf.</t>
  </si>
  <si>
    <t>fläche</t>
  </si>
  <si>
    <t>breite</t>
  </si>
  <si>
    <t>leistung</t>
  </si>
  <si>
    <t>ansatz</t>
  </si>
  <si>
    <t>zeit</t>
  </si>
  <si>
    <t>per</t>
  </si>
  <si>
    <t>m</t>
  </si>
  <si>
    <t>DM/a</t>
  </si>
  <si>
    <t>h/ha</t>
  </si>
  <si>
    <t>PS</t>
  </si>
  <si>
    <t>DM/PS</t>
  </si>
  <si>
    <t>DM/h</t>
  </si>
  <si>
    <t>Feldspritze</t>
  </si>
  <si>
    <t xml:space="preserve">Feldspritze </t>
  </si>
  <si>
    <t>Auslegerstreuer</t>
  </si>
  <si>
    <t>Kreiselstreuer</t>
  </si>
  <si>
    <t>Großbehälterstreuer</t>
  </si>
  <si>
    <t>26,00 - 30,00</t>
  </si>
  <si>
    <t>-2,00 - -2,50</t>
  </si>
  <si>
    <t>-1,00 - -1,00</t>
  </si>
  <si>
    <r>
      <t>P</t>
    </r>
    <r>
      <rPr>
        <sz val="6"/>
        <color theme="0"/>
        <rFont val="Helvetica"/>
        <family val="2"/>
      </rPr>
      <t>2</t>
    </r>
    <r>
      <rPr>
        <sz val="10"/>
        <color theme="0"/>
        <rFont val="Helvetica"/>
        <family val="2"/>
      </rPr>
      <t>0</t>
    </r>
    <r>
      <rPr>
        <sz val="6"/>
        <color theme="0"/>
        <rFont val="Helvetica"/>
        <family val="2"/>
      </rPr>
      <t>5</t>
    </r>
  </si>
  <si>
    <r>
      <t>K</t>
    </r>
    <r>
      <rPr>
        <sz val="6"/>
        <color theme="0"/>
        <rFont val="Helvetica"/>
        <family val="2"/>
      </rPr>
      <t>2</t>
    </r>
    <r>
      <rPr>
        <sz val="10"/>
        <color theme="0"/>
        <rFont val="Helvetica"/>
        <family val="2"/>
      </rPr>
      <t>0</t>
    </r>
  </si>
  <si>
    <r>
      <t>P</t>
    </r>
    <r>
      <rPr>
        <sz val="6"/>
        <color theme="0"/>
        <rFont val="Helvetica"/>
        <family val="2"/>
      </rPr>
      <t>2</t>
    </r>
    <r>
      <rPr>
        <sz val="8.5"/>
        <color theme="0"/>
        <rFont val="Helvetica"/>
        <family val="2"/>
      </rPr>
      <t>0</t>
    </r>
    <r>
      <rPr>
        <sz val="6"/>
        <color theme="0"/>
        <rFont val="Helvetica"/>
        <family val="2"/>
      </rPr>
      <t>5</t>
    </r>
  </si>
  <si>
    <r>
      <t>K</t>
    </r>
    <r>
      <rPr>
        <sz val="6"/>
        <color theme="0"/>
        <rFont val="Helvetica"/>
        <family val="2"/>
      </rPr>
      <t>2</t>
    </r>
    <r>
      <rPr>
        <sz val="8.5"/>
        <color theme="0"/>
        <rFont val="Helvetica"/>
        <family val="2"/>
      </rPr>
      <t>0</t>
    </r>
  </si>
  <si>
    <r>
      <t>Berechnung P</t>
    </r>
    <r>
      <rPr>
        <sz val="6"/>
        <color theme="0"/>
        <rFont val="Helvetica"/>
        <family val="2"/>
      </rPr>
      <t>2</t>
    </r>
    <r>
      <rPr>
        <sz val="10"/>
        <color theme="0"/>
        <rFont val="Helvetica"/>
        <family val="2"/>
      </rPr>
      <t>0</t>
    </r>
    <r>
      <rPr>
        <sz val="6"/>
        <color theme="0"/>
        <rFont val="Helvetica"/>
        <family val="2"/>
      </rPr>
      <t>5</t>
    </r>
    <r>
      <rPr>
        <sz val="10"/>
        <color theme="0"/>
        <rFont val="Helvetica"/>
        <family val="2"/>
      </rPr>
      <t>-Preis</t>
    </r>
  </si>
  <si>
    <r>
      <t>Berechnung  K</t>
    </r>
    <r>
      <rPr>
        <sz val="6"/>
        <color theme="0"/>
        <rFont val="Helvetica"/>
        <family val="2"/>
      </rPr>
      <t>2</t>
    </r>
    <r>
      <rPr>
        <sz val="10"/>
        <color theme="0"/>
        <rFont val="Helvetica"/>
        <family val="2"/>
      </rPr>
      <t>0-Preis</t>
    </r>
  </si>
  <si>
    <r>
      <rPr>
        <sz val="10"/>
        <color theme="0"/>
        <rFont val="Helvetica"/>
        <family val="2"/>
      </rPr>
      <t>Vergleich eigene</t>
    </r>
    <r>
      <rPr>
        <sz val="10"/>
        <rFont val="Helvetica"/>
        <family val="2"/>
      </rPr>
      <t xml:space="preserve"> </t>
    </r>
    <r>
      <rPr>
        <sz val="10"/>
        <color rgb="FFFFFF00"/>
        <rFont val="Helvetica"/>
        <family val="2"/>
      </rPr>
      <t>Mineral</t>
    </r>
    <r>
      <rPr>
        <sz val="10"/>
        <color theme="0"/>
        <rFont val="Helvetica"/>
        <family val="2"/>
      </rPr>
      <t>dünger</t>
    </r>
  </si>
  <si>
    <r>
      <rPr>
        <sz val="10"/>
        <color theme="0"/>
        <rFont val="Helvetica"/>
        <family val="2"/>
      </rPr>
      <t xml:space="preserve">Vergleich eigene </t>
    </r>
    <r>
      <rPr>
        <sz val="10"/>
        <color rgb="FFFFFF00"/>
        <rFont val="Helvetica"/>
        <family val="2"/>
      </rPr>
      <t>organische</t>
    </r>
    <r>
      <rPr>
        <sz val="10"/>
        <rFont val="Helvetica"/>
        <family val="2"/>
      </rPr>
      <t xml:space="preserve"> </t>
    </r>
    <r>
      <rPr>
        <sz val="10"/>
        <color theme="0"/>
        <rFont val="Helvetica"/>
        <family val="2"/>
      </rPr>
      <t>Dünger</t>
    </r>
    <r>
      <rPr>
        <sz val="10"/>
        <rFont val="Helvetica"/>
        <family val="2"/>
      </rPr>
      <t xml:space="preserve"> </t>
    </r>
    <r>
      <rPr>
        <sz val="10"/>
        <color rgb="FFFFFF00"/>
        <rFont val="Helvetica"/>
        <family val="2"/>
      </rPr>
      <t>(inkl. Ausbringkosten eingeben, Anrechenbarkeit betriebsindividuell anpassen)</t>
    </r>
  </si>
  <si>
    <r>
      <rPr>
        <sz val="10"/>
        <color theme="0"/>
        <rFont val="Helvetica"/>
        <family val="2"/>
      </rPr>
      <t xml:space="preserve">  Nährstoffgehalte  in  </t>
    </r>
    <r>
      <rPr>
        <sz val="10"/>
        <color rgb="FFFFFF00"/>
        <rFont val="Helvetica"/>
        <family val="2"/>
      </rPr>
      <t>kg/t</t>
    </r>
  </si>
  <si>
    <t>29,50 - 32,50</t>
  </si>
  <si>
    <t>28,50 - 31,00</t>
  </si>
  <si>
    <t>43,00 - 46,50</t>
  </si>
  <si>
    <t>42,00 - 45,00</t>
  </si>
  <si>
    <t>27,00 - 31,50</t>
  </si>
  <si>
    <t>62,50 - 67,50</t>
  </si>
  <si>
    <t>61,00 - 66,20</t>
  </si>
  <si>
    <t>49,00 - 53,50</t>
  </si>
  <si>
    <t>48,50 - 53,00</t>
  </si>
  <si>
    <t>28,50 - 31,30</t>
  </si>
  <si>
    <t>14,00 - 17,50</t>
  </si>
  <si>
    <t>13,00 - 16,50</t>
  </si>
  <si>
    <t>41,50 - 45,00</t>
  </si>
  <si>
    <t>40,50 - 44,00</t>
  </si>
  <si>
    <t>26,00 - 30,50</t>
  </si>
  <si>
    <t>25,50 - 29,50</t>
  </si>
  <si>
    <t>40,00 - 46,00</t>
  </si>
  <si>
    <t>39,50 - 45,00</t>
  </si>
  <si>
    <t>33,50 - 38,50</t>
  </si>
  <si>
    <t>33,00 - 37,50</t>
  </si>
  <si>
    <t>3,20 - 4,90</t>
  </si>
  <si>
    <t>4,50 - 6,65</t>
  </si>
  <si>
    <t>32,20 - 34,40</t>
  </si>
  <si>
    <t>31,20 - 33,40</t>
  </si>
  <si>
    <t>44,50 - 48,50</t>
  </si>
  <si>
    <t>43,00 - 47,50</t>
  </si>
  <si>
    <t>27,80 - 31,80</t>
  </si>
  <si>
    <t>27,30 - 30,80</t>
  </si>
  <si>
    <t>41,50 - 45,50</t>
  </si>
  <si>
    <t>40,50 - 44,50</t>
  </si>
  <si>
    <t>Column1</t>
  </si>
  <si>
    <t>Column2</t>
  </si>
  <si>
    <t>Column3</t>
  </si>
  <si>
    <t>\\ Diese Preise stellen die Ergebnisse einer wöchentlichen Abfrage dar und gewähren keine Preisgarantie. //
                Sortiere aufsteigend Sortiere absteigend</t>
  </si>
  <si>
    <t>Achtung:  Zum Teil nur Einzelmeldungen und zeitlich begrenzte Kurse</t>
  </si>
  <si>
    <t>Preise je dt (100 kg)!</t>
  </si>
  <si>
    <t>47,50 - 53,00</t>
  </si>
  <si>
    <t xml:space="preserve"> Ländliche Betriebsgründungs- und Beratungsgesellschaft mbH, Luttertal 70, 37075 Göttingen. Tel. 0551-20905-0.</t>
  </si>
  <si>
    <t>55,00 - 59,00</t>
  </si>
  <si>
    <t>54,50 - 58,50</t>
  </si>
  <si>
    <t>30,50 - 34,50</t>
  </si>
  <si>
    <t>29,50 - 33,30</t>
  </si>
  <si>
    <t>0-0</t>
  </si>
  <si>
    <t>37,00 - 41,00</t>
  </si>
  <si>
    <t>36,00 - 40,00</t>
  </si>
  <si>
    <t>49,00 - 54,00</t>
  </si>
  <si>
    <t>33,70 - 37,50</t>
  </si>
  <si>
    <t>32,70 - 36,00</t>
  </si>
  <si>
    <t>48,50 - 54,00</t>
  </si>
  <si>
    <t>47,50 - 52,50</t>
  </si>
  <si>
    <t>34,00 - 37,00</t>
  </si>
  <si>
    <t>33,00 - 35,50</t>
  </si>
  <si>
    <t>67,50 - 73,50</t>
  </si>
  <si>
    <t>66,00 - 72,20</t>
  </si>
  <si>
    <t>16,00 - 18,50</t>
  </si>
  <si>
    <t>15,00 - 17,50</t>
  </si>
  <si>
    <t>46,50 - 51,00</t>
  </si>
  <si>
    <t>45,50 - 50,00</t>
  </si>
  <si>
    <t>33,00 - 36,50</t>
  </si>
  <si>
    <t>32,50 - 35,50</t>
  </si>
  <si>
    <t>40,00 - 51,00</t>
  </si>
  <si>
    <t>39,50 - 50,00</t>
  </si>
  <si>
    <t>41,00 - 44,00</t>
  </si>
  <si>
    <t>40,50 - 43,00</t>
  </si>
  <si>
    <t>3,80 - 5,00</t>
  </si>
  <si>
    <t>5,10 - 6,75</t>
  </si>
  <si>
    <t>30,50 - 34,00</t>
  </si>
  <si>
    <t>30,00 - 33,00</t>
  </si>
  <si>
    <t>50,50 - 53,50</t>
  </si>
  <si>
    <t>49,50 - 52,50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</si>
</sst>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2">
    <numFmt numFmtId="44" formatCode="_-* #,##0.00\ &quot;€&quot;_-;\-* #,##0.00\ &quot;€&quot;_-;_-* &quot;-&quot;??\ &quot;€&quot;_-;_-@_-"/>
    <numFmt numFmtId="164" formatCode="#,##0.00\ \ ;[Red]\-#,##0.00\ \ ;&quot;-&quot;"/>
    <numFmt numFmtId="165" formatCode="#,##0\ \ \ ;[Red]\-#,##0\ \ \ ;&quot;-&quot;"/>
    <numFmt numFmtId="166" formatCode="#,##0.00;[Red]\-#,##0.00;&quot;-&quot;"/>
    <numFmt numFmtId="167" formatCode="#,##0\ ;[Red]\-#,##0\ ;&quot;-&quot;"/>
    <numFmt numFmtId="168" formatCode="#,##0;[Red]\-#,##0;&quot;-&quot;"/>
    <numFmt numFmtId="169" formatCode="#,##0.000\ \ ;[Red]\-#,##0.000\ \ ;&quot;-&quot;"/>
    <numFmt numFmtId="170" formatCode="#,##0\ \ ;[Red]\-#,##0\ \ ;&quot;-&quot;\ \ "/>
    <numFmt numFmtId="171" formatCode="#,###"/>
    <numFmt numFmtId="172" formatCode="0.0"/>
    <numFmt numFmtId="173" formatCode="0.000"/>
    <numFmt numFmtId="174" formatCode="0&quot; &quot;"/>
    <numFmt numFmtId="175" formatCode="#,##0\ \ \ ;[Red]\-#,##0\ \ \ ;&quot; &quot;"/>
    <numFmt numFmtId="176" formatCode="[Blue]#,###"/>
    <numFmt numFmtId="177" formatCode="#,##0.00\ \ ;[Red]\-#,##0.00\ \ ;&quot;-&quot;\ \ "/>
    <numFmt numFmtId="178" formatCode="[Blue]#,###.00"/>
    <numFmt numFmtId="179" formatCode="#,##0.00\ \ \ ;[Red]\-#,##0.00\ \ \ ;&quot; &quot;"/>
    <numFmt numFmtId="180" formatCode="d/m/yy\ h:mm"/>
    <numFmt numFmtId="181" formatCode="#,##0.0"/>
    <numFmt numFmtId="182" formatCode="d/\ mmm\ yy"/>
    <numFmt numFmtId="183" formatCode="[Blue]#,###.00\ "/>
    <numFmt numFmtId="184" formatCode="[Blue]#,###.0"/>
  </numFmts>
  <fonts count="56" x14ac:knownFonts="1">
    <font>
      <sz val="10"/>
      <name val="Arial"/>
    </font>
    <font>
      <b/>
      <sz val="10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b/>
      <sz val="10"/>
      <name val="MS Sans Serif"/>
    </font>
    <font>
      <sz val="10"/>
      <name val="Arial"/>
      <family val="2"/>
    </font>
    <font>
      <b/>
      <sz val="14"/>
      <name val="Arial"/>
      <family val="2"/>
    </font>
    <font>
      <b/>
      <sz val="14"/>
      <color indexed="39"/>
      <name val="Arial"/>
      <family val="2"/>
    </font>
    <font>
      <sz val="12"/>
      <name val="Arial"/>
      <family val="2"/>
    </font>
    <font>
      <sz val="12"/>
      <color indexed="39"/>
      <name val="Arial"/>
      <family val="2"/>
    </font>
    <font>
      <sz val="8.5"/>
      <name val="Arial"/>
      <family val="2"/>
    </font>
    <font>
      <sz val="10"/>
      <color indexed="39"/>
      <name val="Arial"/>
      <family val="2"/>
    </font>
    <font>
      <b/>
      <sz val="8.5"/>
      <name val="Arial"/>
      <family val="2"/>
    </font>
    <font>
      <b/>
      <i/>
      <sz val="8.5"/>
      <name val="Arial"/>
      <family val="2"/>
    </font>
    <font>
      <i/>
      <sz val="8.5"/>
      <name val="Arial"/>
      <family val="2"/>
    </font>
    <font>
      <sz val="8"/>
      <name val="Arial"/>
      <family val="2"/>
    </font>
    <font>
      <b/>
      <i/>
      <sz val="12"/>
      <name val="Arial"/>
      <family val="2"/>
    </font>
    <font>
      <b/>
      <i/>
      <sz val="10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vertAlign val="subscript"/>
      <sz val="11"/>
      <name val="Arial"/>
      <family val="2"/>
    </font>
    <font>
      <i/>
      <sz val="11"/>
      <name val="Arial"/>
      <family val="2"/>
    </font>
    <font>
      <b/>
      <sz val="18"/>
      <name val="Arial"/>
      <family val="2"/>
    </font>
    <font>
      <sz val="10"/>
      <color indexed="12"/>
      <name val="Arial"/>
      <family val="2"/>
    </font>
    <font>
      <sz val="14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name val="Helvetica"/>
      <family val="2"/>
    </font>
    <font>
      <b/>
      <sz val="10"/>
      <name val="Helvetica"/>
      <family val="2"/>
    </font>
    <font>
      <b/>
      <sz val="8.5"/>
      <name val="Helvetica"/>
      <family val="2"/>
    </font>
    <font>
      <sz val="10"/>
      <color theme="1"/>
      <name val="Helvetica"/>
      <family val="2"/>
    </font>
    <font>
      <sz val="10"/>
      <color indexed="12"/>
      <name val="Helvetica"/>
      <family val="2"/>
    </font>
    <font>
      <b/>
      <sz val="8.5"/>
      <color indexed="39"/>
      <name val="Helvetica"/>
      <family val="2"/>
    </font>
    <font>
      <sz val="10"/>
      <color rgb="FF0000FF"/>
      <name val="Helvetica"/>
      <family val="2"/>
    </font>
    <font>
      <b/>
      <sz val="12"/>
      <name val="Helvetica"/>
      <family val="2"/>
    </font>
    <font>
      <b/>
      <i/>
      <sz val="10"/>
      <name val="Helvetica"/>
      <family val="2"/>
    </font>
    <font>
      <i/>
      <sz val="10"/>
      <name val="Helvetica"/>
      <family val="2"/>
    </font>
    <font>
      <sz val="9"/>
      <name val="Helvetica"/>
      <family val="2"/>
    </font>
    <font>
      <sz val="8"/>
      <name val="Helvetica"/>
      <family val="2"/>
    </font>
    <font>
      <sz val="10"/>
      <color theme="0"/>
      <name val="Helvetica"/>
      <family val="2"/>
    </font>
    <font>
      <sz val="8.5"/>
      <color theme="0"/>
      <name val="Helvetica"/>
      <family val="2"/>
    </font>
    <font>
      <sz val="6"/>
      <color theme="0"/>
      <name val="Helvetica"/>
      <family val="2"/>
    </font>
    <font>
      <b/>
      <sz val="15"/>
      <color rgb="FF245447"/>
      <name val="Helvetica"/>
      <family val="2"/>
    </font>
    <font>
      <b/>
      <sz val="10"/>
      <color rgb="FF245447"/>
      <name val="Helvetica"/>
      <family val="2"/>
    </font>
    <font>
      <sz val="10"/>
      <color rgb="FF245447"/>
      <name val="Helvetica"/>
      <family val="2"/>
    </font>
    <font>
      <b/>
      <sz val="8.5"/>
      <color rgb="FF245447"/>
      <name val="Helvetica"/>
      <family val="2"/>
    </font>
    <font>
      <sz val="8.5"/>
      <color rgb="FF245447"/>
      <name val="Helvetica"/>
      <family val="2"/>
    </font>
    <font>
      <sz val="20"/>
      <color rgb="FF245447"/>
      <name val="Helvetica"/>
      <family val="2"/>
    </font>
    <font>
      <sz val="10"/>
      <color rgb="FF389165"/>
      <name val="Helvetica"/>
      <family val="2"/>
    </font>
    <font>
      <sz val="11"/>
      <color rgb="FF245447"/>
      <name val="Helvetica"/>
      <family val="2"/>
    </font>
    <font>
      <sz val="10"/>
      <color rgb="FFFFFF00"/>
      <name val="Helvetica"/>
      <family val="2"/>
    </font>
    <font>
      <sz val="8"/>
      <color rgb="FFFFFF00"/>
      <name val="Helvetica"/>
      <family val="2"/>
    </font>
    <font>
      <sz val="10"/>
      <color theme="8" tint="-0.249977111117893"/>
      <name val="Helvetica"/>
      <family val="2"/>
    </font>
  </fonts>
  <fills count="16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389165"/>
        <bgColor indexed="64"/>
      </patternFill>
    </fill>
    <fill>
      <patternFill patternType="solid">
        <fgColor rgb="FF66B779"/>
        <bgColor indexed="64"/>
      </patternFill>
    </fill>
    <fill>
      <patternFill patternType="solid">
        <fgColor rgb="FF245447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0" fontId="3" fillId="0" borderId="0"/>
    <xf numFmtId="0" fontId="3" fillId="0" borderId="0"/>
    <xf numFmtId="44" fontId="28" fillId="0" borderId="0" applyFont="0" applyFill="0" applyBorder="0" applyAlignment="0" applyProtection="0"/>
    <xf numFmtId="9" fontId="28" fillId="0" borderId="0" applyFont="0" applyFill="0" applyBorder="0" applyAlignment="0" applyProtection="0"/>
  </cellStyleXfs>
  <cellXfs count="830">
    <xf numFmtId="0" fontId="0" fillId="0" borderId="0" xfId="0"/>
    <xf numFmtId="0" fontId="4" fillId="0" borderId="0" xfId="0" applyFont="1"/>
    <xf numFmtId="0" fontId="0" fillId="0" borderId="0" xfId="0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2" xfId="0" applyFont="1" applyBorder="1" applyAlignment="1" applyProtection="1">
      <alignment horizontal="center"/>
      <protection locked="0"/>
    </xf>
    <xf numFmtId="0" fontId="9" fillId="0" borderId="2" xfId="0" applyFont="1" applyBorder="1" applyAlignment="1" applyProtection="1">
      <alignment horizontal="left"/>
      <protection locked="0"/>
    </xf>
    <xf numFmtId="0" fontId="10" fillId="0" borderId="4" xfId="0" applyFont="1" applyBorder="1"/>
    <xf numFmtId="0" fontId="8" fillId="0" borderId="4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4" xfId="0" applyFont="1" applyBorder="1" applyAlignment="1" applyProtection="1">
      <alignment horizontal="center"/>
      <protection locked="0"/>
    </xf>
    <xf numFmtId="0" fontId="11" fillId="0" borderId="4" xfId="0" applyFont="1" applyBorder="1" applyAlignment="1">
      <alignment horizontal="left"/>
    </xf>
    <xf numFmtId="0" fontId="10" fillId="0" borderId="0" xfId="0" applyFont="1"/>
    <xf numFmtId="0" fontId="8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 applyAlignment="1" applyProtection="1">
      <alignment horizontal="center"/>
      <protection locked="0"/>
    </xf>
    <xf numFmtId="0" fontId="11" fillId="0" borderId="0" xfId="0" applyFont="1" applyAlignment="1">
      <alignment horizontal="left"/>
    </xf>
    <xf numFmtId="0" fontId="5" fillId="0" borderId="0" xfId="0" applyFont="1"/>
    <xf numFmtId="0" fontId="12" fillId="0" borderId="0" xfId="0" applyFont="1" applyAlignment="1">
      <alignment horizontal="centerContinuous"/>
    </xf>
    <xf numFmtId="0" fontId="13" fillId="2" borderId="3" xfId="0" applyFont="1" applyFill="1" applyBorder="1" applyAlignment="1">
      <alignment horizontal="center"/>
    </xf>
    <xf numFmtId="0" fontId="13" fillId="2" borderId="8" xfId="0" applyFont="1" applyFill="1" applyBorder="1" applyAlignment="1">
      <alignment horizontal="center"/>
    </xf>
    <xf numFmtId="0" fontId="13" fillId="2" borderId="4" xfId="0" applyFont="1" applyFill="1" applyBorder="1" applyAlignment="1">
      <alignment horizontal="center"/>
    </xf>
    <xf numFmtId="0" fontId="13" fillId="2" borderId="5" xfId="0" applyFont="1" applyFill="1" applyBorder="1" applyAlignment="1">
      <alignment horizontal="center"/>
    </xf>
    <xf numFmtId="0" fontId="13" fillId="2" borderId="15" xfId="0" applyFont="1" applyFill="1" applyBorder="1" applyAlignment="1">
      <alignment horizontal="center"/>
    </xf>
    <xf numFmtId="0" fontId="13" fillId="2" borderId="18" xfId="0" applyFont="1" applyFill="1" applyBorder="1" applyAlignment="1">
      <alignment horizontal="center"/>
    </xf>
    <xf numFmtId="0" fontId="14" fillId="2" borderId="18" xfId="0" applyFont="1" applyFill="1" applyBorder="1" applyAlignment="1">
      <alignment horizontal="center"/>
    </xf>
    <xf numFmtId="0" fontId="14" fillId="2" borderId="16" xfId="0" applyFont="1" applyFill="1" applyBorder="1" applyAlignment="1">
      <alignment horizontal="center"/>
    </xf>
    <xf numFmtId="0" fontId="14" fillId="2" borderId="17" xfId="0" applyFont="1" applyFill="1" applyBorder="1" applyAlignment="1">
      <alignment horizontal="center"/>
    </xf>
    <xf numFmtId="0" fontId="10" fillId="0" borderId="6" xfId="0" applyFont="1" applyBorder="1" applyAlignment="1" applyProtection="1">
      <alignment horizontal="center"/>
      <protection locked="0"/>
    </xf>
    <xf numFmtId="0" fontId="10" fillId="2" borderId="9" xfId="0" applyFont="1" applyFill="1" applyBorder="1" applyAlignment="1">
      <alignment horizontal="center"/>
    </xf>
    <xf numFmtId="171" fontId="10" fillId="0" borderId="9" xfId="0" applyNumberFormat="1" applyFont="1" applyBorder="1" applyAlignment="1" applyProtection="1">
      <alignment horizontal="center"/>
      <protection locked="0"/>
    </xf>
    <xf numFmtId="171" fontId="10" fillId="3" borderId="9" xfId="0" applyNumberFormat="1" applyFont="1" applyFill="1" applyBorder="1" applyAlignment="1">
      <alignment horizontal="center"/>
    </xf>
    <xf numFmtId="171" fontId="10" fillId="2" borderId="9" xfId="0" applyNumberFormat="1" applyFont="1" applyFill="1" applyBorder="1" applyAlignment="1">
      <alignment horizontal="center"/>
    </xf>
    <xf numFmtId="171" fontId="10" fillId="2" borderId="0" xfId="0" applyNumberFormat="1" applyFont="1" applyFill="1" applyAlignment="1">
      <alignment horizontal="center"/>
    </xf>
    <xf numFmtId="171" fontId="10" fillId="2" borderId="7" xfId="0" applyNumberFormat="1" applyFont="1" applyFill="1" applyBorder="1" applyAlignment="1">
      <alignment horizontal="center"/>
    </xf>
    <xf numFmtId="0" fontId="10" fillId="2" borderId="18" xfId="0" applyFont="1" applyFill="1" applyBorder="1" applyAlignment="1">
      <alignment horizontal="center"/>
    </xf>
    <xf numFmtId="171" fontId="10" fillId="3" borderId="18" xfId="0" applyNumberFormat="1" applyFont="1" applyFill="1" applyBorder="1" applyAlignment="1">
      <alignment horizontal="center"/>
    </xf>
    <xf numFmtId="171" fontId="10" fillId="2" borderId="18" xfId="0" applyNumberFormat="1" applyFont="1" applyFill="1" applyBorder="1" applyAlignment="1">
      <alignment horizontal="center"/>
    </xf>
    <xf numFmtId="171" fontId="10" fillId="2" borderId="16" xfId="0" applyNumberFormat="1" applyFont="1" applyFill="1" applyBorder="1" applyAlignment="1">
      <alignment horizontal="center"/>
    </xf>
    <xf numFmtId="171" fontId="10" fillId="2" borderId="17" xfId="0" applyNumberFormat="1" applyFont="1" applyFill="1" applyBorder="1" applyAlignment="1">
      <alignment horizontal="center"/>
    </xf>
    <xf numFmtId="0" fontId="10" fillId="2" borderId="15" xfId="0" applyFont="1" applyFill="1" applyBorder="1" applyAlignment="1">
      <alignment horizontal="left"/>
    </xf>
    <xf numFmtId="0" fontId="10" fillId="2" borderId="16" xfId="0" applyFont="1" applyFill="1" applyBorder="1" applyAlignment="1">
      <alignment horizontal="center"/>
    </xf>
    <xf numFmtId="167" fontId="10" fillId="0" borderId="18" xfId="0" applyNumberFormat="1" applyFont="1" applyBorder="1" applyAlignment="1" applyProtection="1">
      <alignment horizontal="center"/>
      <protection locked="0"/>
    </xf>
    <xf numFmtId="0" fontId="10" fillId="2" borderId="18" xfId="0" applyFont="1" applyFill="1" applyBorder="1"/>
    <xf numFmtId="0" fontId="10" fillId="2" borderId="2" xfId="0" applyFont="1" applyFill="1" applyBorder="1"/>
    <xf numFmtId="0" fontId="10" fillId="2" borderId="2" xfId="0" applyFont="1" applyFill="1" applyBorder="1" applyAlignment="1">
      <alignment horizontal="center"/>
    </xf>
    <xf numFmtId="1" fontId="12" fillId="2" borderId="14" xfId="0" applyNumberFormat="1" applyFont="1" applyFill="1" applyBorder="1" applyAlignment="1">
      <alignment horizontal="center"/>
    </xf>
    <xf numFmtId="2" fontId="12" fillId="2" borderId="18" xfId="0" applyNumberFormat="1" applyFont="1" applyFill="1" applyBorder="1" applyAlignment="1">
      <alignment horizontal="right"/>
    </xf>
    <xf numFmtId="0" fontId="10" fillId="0" borderId="0" xfId="0" applyFont="1" applyAlignment="1">
      <alignment horizontal="left"/>
    </xf>
    <xf numFmtId="0" fontId="14" fillId="2" borderId="15" xfId="0" applyFont="1" applyFill="1" applyBorder="1"/>
    <xf numFmtId="166" fontId="14" fillId="2" borderId="16" xfId="0" applyNumberFormat="1" applyFont="1" applyFill="1" applyBorder="1" applyAlignment="1">
      <alignment horizontal="center"/>
    </xf>
    <xf numFmtId="166" fontId="14" fillId="2" borderId="18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0" fillId="2" borderId="6" xfId="0" applyFont="1" applyFill="1" applyBorder="1" applyAlignment="1">
      <alignment horizontal="center"/>
    </xf>
    <xf numFmtId="166" fontId="10" fillId="0" borderId="9" xfId="0" applyNumberFormat="1" applyFont="1" applyBorder="1" applyAlignment="1" applyProtection="1">
      <alignment horizontal="center"/>
      <protection locked="0"/>
    </xf>
    <xf numFmtId="168" fontId="10" fillId="2" borderId="0" xfId="0" applyNumberFormat="1" applyFont="1" applyFill="1" applyAlignment="1">
      <alignment horizontal="center"/>
    </xf>
    <xf numFmtId="168" fontId="10" fillId="2" borderId="7" xfId="0" applyNumberFormat="1" applyFont="1" applyFill="1" applyBorder="1" applyAlignment="1">
      <alignment horizontal="center"/>
    </xf>
    <xf numFmtId="2" fontId="10" fillId="2" borderId="9" xfId="0" quotePrefix="1" applyNumberFormat="1" applyFont="1" applyFill="1" applyBorder="1" applyAlignment="1">
      <alignment horizontal="right"/>
    </xf>
    <xf numFmtId="168" fontId="10" fillId="2" borderId="16" xfId="0" applyNumberFormat="1" applyFont="1" applyFill="1" applyBorder="1" applyAlignment="1">
      <alignment horizontal="center"/>
    </xf>
    <xf numFmtId="168" fontId="10" fillId="2" borderId="17" xfId="0" applyNumberFormat="1" applyFont="1" applyFill="1" applyBorder="1" applyAlignment="1">
      <alignment horizontal="center"/>
    </xf>
    <xf numFmtId="168" fontId="10" fillId="2" borderId="19" xfId="0" applyNumberFormat="1" applyFont="1" applyFill="1" applyBorder="1" applyAlignment="1">
      <alignment horizontal="center"/>
    </xf>
    <xf numFmtId="2" fontId="10" fillId="2" borderId="18" xfId="0" quotePrefix="1" applyNumberFormat="1" applyFont="1" applyFill="1" applyBorder="1" applyAlignment="1">
      <alignment horizontal="right"/>
    </xf>
    <xf numFmtId="2" fontId="10" fillId="0" borderId="0" xfId="0" quotePrefix="1" applyNumberFormat="1" applyFont="1" applyAlignment="1">
      <alignment horizontal="right"/>
    </xf>
    <xf numFmtId="0" fontId="12" fillId="0" borderId="0" xfId="0" applyFont="1" applyAlignment="1">
      <alignment horizontal="center"/>
    </xf>
    <xf numFmtId="0" fontId="12" fillId="0" borderId="0" xfId="0" applyFont="1"/>
    <xf numFmtId="0" fontId="13" fillId="2" borderId="3" xfId="0" applyFont="1" applyFill="1" applyBorder="1"/>
    <xf numFmtId="168" fontId="13" fillId="2" borderId="4" xfId="0" applyNumberFormat="1" applyFont="1" applyFill="1" applyBorder="1"/>
    <xf numFmtId="168" fontId="13" fillId="2" borderId="5" xfId="0" applyNumberFormat="1" applyFont="1" applyFill="1" applyBorder="1"/>
    <xf numFmtId="166" fontId="13" fillId="2" borderId="8" xfId="0" applyNumberFormat="1" applyFont="1" applyFill="1" applyBorder="1" applyAlignment="1">
      <alignment horizontal="centerContinuous"/>
    </xf>
    <xf numFmtId="0" fontId="14" fillId="0" borderId="0" xfId="0" applyFont="1"/>
    <xf numFmtId="0" fontId="13" fillId="0" borderId="0" xfId="0" applyFont="1" applyAlignment="1">
      <alignment horizontal="center"/>
    </xf>
    <xf numFmtId="0" fontId="13" fillId="0" borderId="0" xfId="0" applyFont="1"/>
    <xf numFmtId="0" fontId="13" fillId="2" borderId="15" xfId="0" applyFont="1" applyFill="1" applyBorder="1"/>
    <xf numFmtId="168" fontId="13" fillId="2" borderId="16" xfId="0" applyNumberFormat="1" applyFont="1" applyFill="1" applyBorder="1"/>
    <xf numFmtId="168" fontId="13" fillId="2" borderId="17" xfId="0" applyNumberFormat="1" applyFont="1" applyFill="1" applyBorder="1"/>
    <xf numFmtId="166" fontId="13" fillId="2" borderId="18" xfId="0" applyNumberFormat="1" applyFont="1" applyFill="1" applyBorder="1" applyAlignment="1">
      <alignment horizontal="centerContinuous"/>
    </xf>
    <xf numFmtId="0" fontId="13" fillId="2" borderId="16" xfId="0" applyFont="1" applyFill="1" applyBorder="1" applyAlignment="1">
      <alignment horizontal="center"/>
    </xf>
    <xf numFmtId="166" fontId="13" fillId="2" borderId="18" xfId="0" applyNumberFormat="1" applyFont="1" applyFill="1" applyBorder="1" applyAlignment="1">
      <alignment horizontal="center"/>
    </xf>
    <xf numFmtId="0" fontId="10" fillId="0" borderId="8" xfId="0" applyFont="1" applyBorder="1" applyAlignment="1" applyProtection="1">
      <alignment horizontal="center"/>
      <protection locked="0"/>
    </xf>
    <xf numFmtId="0" fontId="10" fillId="2" borderId="4" xfId="0" applyFont="1" applyFill="1" applyBorder="1"/>
    <xf numFmtId="166" fontId="10" fillId="2" borderId="4" xfId="0" applyNumberFormat="1" applyFont="1" applyFill="1" applyBorder="1" applyAlignment="1">
      <alignment horizontal="center"/>
    </xf>
    <xf numFmtId="166" fontId="10" fillId="0" borderId="3" xfId="0" applyNumberFormat="1" applyFont="1" applyBorder="1" applyAlignment="1" applyProtection="1">
      <alignment horizontal="center"/>
      <protection locked="0"/>
    </xf>
    <xf numFmtId="9" fontId="10" fillId="0" borderId="5" xfId="0" applyNumberFormat="1" applyFont="1" applyBorder="1" applyAlignment="1" applyProtection="1">
      <alignment horizontal="center"/>
      <protection locked="0"/>
    </xf>
    <xf numFmtId="2" fontId="10" fillId="2" borderId="9" xfId="0" applyNumberFormat="1" applyFont="1" applyFill="1" applyBorder="1"/>
    <xf numFmtId="0" fontId="10" fillId="0" borderId="9" xfId="0" applyFont="1" applyBorder="1" applyAlignment="1" applyProtection="1">
      <alignment horizontal="center"/>
      <protection locked="0"/>
    </xf>
    <xf numFmtId="0" fontId="10" fillId="2" borderId="0" xfId="0" applyFont="1" applyFill="1"/>
    <xf numFmtId="166" fontId="10" fillId="2" borderId="0" xfId="0" applyNumberFormat="1" applyFont="1" applyFill="1" applyAlignment="1">
      <alignment horizontal="center"/>
    </xf>
    <xf numFmtId="166" fontId="10" fillId="0" borderId="6" xfId="0" applyNumberFormat="1" applyFont="1" applyBorder="1" applyAlignment="1" applyProtection="1">
      <alignment horizontal="center"/>
      <protection locked="0"/>
    </xf>
    <xf numFmtId="9" fontId="10" fillId="0" borderId="7" xfId="0" applyNumberFormat="1" applyFont="1" applyBorder="1" applyAlignment="1" applyProtection="1">
      <alignment horizontal="center"/>
      <protection locked="0"/>
    </xf>
    <xf numFmtId="0" fontId="10" fillId="0" borderId="18" xfId="0" applyFont="1" applyBorder="1" applyAlignment="1" applyProtection="1">
      <alignment horizontal="center"/>
      <protection locked="0"/>
    </xf>
    <xf numFmtId="0" fontId="10" fillId="2" borderId="16" xfId="0" applyFont="1" applyFill="1" applyBorder="1"/>
    <xf numFmtId="0" fontId="10" fillId="2" borderId="15" xfId="0" applyFont="1" applyFill="1" applyBorder="1" applyAlignment="1">
      <alignment horizontal="center"/>
    </xf>
    <xf numFmtId="166" fontId="10" fillId="2" borderId="16" xfId="0" applyNumberFormat="1" applyFont="1" applyFill="1" applyBorder="1" applyAlignment="1">
      <alignment horizontal="center"/>
    </xf>
    <xf numFmtId="166" fontId="10" fillId="2" borderId="17" xfId="0" applyNumberFormat="1" applyFont="1" applyFill="1" applyBorder="1" applyAlignment="1">
      <alignment horizontal="center"/>
    </xf>
    <xf numFmtId="2" fontId="10" fillId="2" borderId="18" xfId="0" applyNumberFormat="1" applyFont="1" applyFill="1" applyBorder="1"/>
    <xf numFmtId="0" fontId="10" fillId="2" borderId="15" xfId="0" applyFont="1" applyFill="1" applyBorder="1"/>
    <xf numFmtId="0" fontId="12" fillId="2" borderId="2" xfId="0" applyFont="1" applyFill="1" applyBorder="1" applyAlignment="1">
      <alignment horizontal="centerContinuous"/>
    </xf>
    <xf numFmtId="0" fontId="10" fillId="2" borderId="2" xfId="0" applyFont="1" applyFill="1" applyBorder="1" applyAlignment="1">
      <alignment horizontal="centerContinuous"/>
    </xf>
    <xf numFmtId="1" fontId="10" fillId="2" borderId="2" xfId="0" applyNumberFormat="1" applyFont="1" applyFill="1" applyBorder="1" applyAlignment="1">
      <alignment horizontal="centerContinuous"/>
    </xf>
    <xf numFmtId="4" fontId="12" fillId="2" borderId="14" xfId="0" applyNumberFormat="1" applyFont="1" applyFill="1" applyBorder="1"/>
    <xf numFmtId="1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2" fontId="10" fillId="0" borderId="0" xfId="0" applyNumberFormat="1" applyFont="1"/>
    <xf numFmtId="2" fontId="12" fillId="0" borderId="0" xfId="0" applyNumberFormat="1" applyFont="1" applyAlignment="1">
      <alignment horizontal="center"/>
    </xf>
    <xf numFmtId="0" fontId="14" fillId="2" borderId="18" xfId="0" applyFont="1" applyFill="1" applyBorder="1"/>
    <xf numFmtId="166" fontId="10" fillId="0" borderId="8" xfId="0" applyNumberFormat="1" applyFont="1" applyBorder="1" applyAlignment="1" applyProtection="1">
      <alignment horizontal="center"/>
      <protection locked="0"/>
    </xf>
    <xf numFmtId="168" fontId="13" fillId="2" borderId="4" xfId="0" applyNumberFormat="1" applyFont="1" applyFill="1" applyBorder="1" applyAlignment="1">
      <alignment horizontal="centerContinuous"/>
    </xf>
    <xf numFmtId="168" fontId="13" fillId="2" borderId="5" xfId="0" applyNumberFormat="1" applyFont="1" applyFill="1" applyBorder="1" applyAlignment="1">
      <alignment horizontal="centerContinuous"/>
    </xf>
    <xf numFmtId="2" fontId="10" fillId="2" borderId="8" xfId="0" quotePrefix="1" applyNumberFormat="1" applyFont="1" applyFill="1" applyBorder="1" applyAlignment="1">
      <alignment horizontal="right"/>
    </xf>
    <xf numFmtId="168" fontId="13" fillId="2" borderId="16" xfId="0" applyNumberFormat="1" applyFont="1" applyFill="1" applyBorder="1" applyAlignment="1">
      <alignment horizontal="centerContinuous"/>
    </xf>
    <xf numFmtId="168" fontId="13" fillId="2" borderId="17" xfId="0" applyNumberFormat="1" applyFont="1" applyFill="1" applyBorder="1" applyAlignment="1">
      <alignment horizontal="centerContinuous"/>
    </xf>
    <xf numFmtId="0" fontId="13" fillId="2" borderId="9" xfId="0" applyFont="1" applyFill="1" applyBorder="1" applyAlignment="1">
      <alignment horizontal="center"/>
    </xf>
    <xf numFmtId="0" fontId="10" fillId="2" borderId="5" xfId="0" applyFont="1" applyFill="1" applyBorder="1"/>
    <xf numFmtId="2" fontId="10" fillId="2" borderId="8" xfId="0" applyNumberFormat="1" applyFont="1" applyFill="1" applyBorder="1"/>
    <xf numFmtId="0" fontId="10" fillId="2" borderId="7" xfId="0" applyFont="1" applyFill="1" applyBorder="1"/>
    <xf numFmtId="1" fontId="12" fillId="0" borderId="0" xfId="0" applyNumberFormat="1" applyFont="1" applyAlignment="1">
      <alignment horizontal="center"/>
    </xf>
    <xf numFmtId="0" fontId="16" fillId="2" borderId="2" xfId="1" applyFont="1" applyFill="1" applyBorder="1"/>
    <xf numFmtId="0" fontId="5" fillId="0" borderId="0" xfId="1" applyFont="1"/>
    <xf numFmtId="0" fontId="12" fillId="2" borderId="8" xfId="2" applyFont="1" applyFill="1" applyBorder="1" applyAlignment="1">
      <alignment horizontal="center"/>
    </xf>
    <xf numFmtId="0" fontId="13" fillId="2" borderId="6" xfId="0" applyFont="1" applyFill="1" applyBorder="1"/>
    <xf numFmtId="0" fontId="13" fillId="2" borderId="3" xfId="0" applyFont="1" applyFill="1" applyBorder="1" applyAlignment="1">
      <alignment horizontal="centerContinuous"/>
    </xf>
    <xf numFmtId="166" fontId="13" fillId="2" borderId="8" xfId="0" applyNumberFormat="1" applyFont="1" applyFill="1" applyBorder="1" applyAlignment="1">
      <alignment horizontal="center"/>
    </xf>
    <xf numFmtId="0" fontId="13" fillId="2" borderId="6" xfId="0" applyFont="1" applyFill="1" applyBorder="1" applyAlignment="1">
      <alignment horizontal="centerContinuous"/>
    </xf>
    <xf numFmtId="168" fontId="13" fillId="2" borderId="0" xfId="0" applyNumberFormat="1" applyFont="1" applyFill="1" applyAlignment="1">
      <alignment horizontal="centerContinuous"/>
    </xf>
    <xf numFmtId="166" fontId="13" fillId="2" borderId="9" xfId="0" applyNumberFormat="1" applyFont="1" applyFill="1" applyBorder="1" applyAlignment="1">
      <alignment horizontal="center"/>
    </xf>
    <xf numFmtId="0" fontId="14" fillId="2" borderId="6" xfId="0" applyFont="1" applyFill="1" applyBorder="1"/>
    <xf numFmtId="168" fontId="13" fillId="2" borderId="16" xfId="0" applyNumberFormat="1" applyFont="1" applyFill="1" applyBorder="1" applyAlignment="1">
      <alignment horizontal="center"/>
    </xf>
    <xf numFmtId="2" fontId="14" fillId="2" borderId="18" xfId="0" applyNumberFormat="1" applyFont="1" applyFill="1" applyBorder="1" applyAlignment="1">
      <alignment horizontal="center"/>
    </xf>
    <xf numFmtId="0" fontId="10" fillId="0" borderId="0" xfId="0" quotePrefix="1" applyFont="1" applyAlignment="1">
      <alignment horizontal="left"/>
    </xf>
    <xf numFmtId="0" fontId="13" fillId="2" borderId="8" xfId="0" quotePrefix="1" applyFont="1" applyFill="1" applyBorder="1" applyAlignment="1">
      <alignment horizontal="center"/>
    </xf>
    <xf numFmtId="166" fontId="10" fillId="2" borderId="20" xfId="0" applyNumberFormat="1" applyFont="1" applyFill="1" applyBorder="1" applyAlignment="1">
      <alignment horizontal="center"/>
    </xf>
    <xf numFmtId="166" fontId="13" fillId="2" borderId="4" xfId="0" applyNumberFormat="1" applyFont="1" applyFill="1" applyBorder="1" applyAlignment="1">
      <alignment horizontal="centerContinuous"/>
    </xf>
    <xf numFmtId="171" fontId="10" fillId="0" borderId="0" xfId="0" applyNumberFormat="1" applyFont="1" applyAlignment="1" applyProtection="1">
      <alignment horizontal="center"/>
      <protection locked="0"/>
    </xf>
    <xf numFmtId="9" fontId="10" fillId="0" borderId="0" xfId="0" applyNumberFormat="1" applyFont="1" applyAlignment="1" applyProtection="1">
      <alignment horizontal="center"/>
      <protection locked="0"/>
    </xf>
    <xf numFmtId="14" fontId="18" fillId="2" borderId="20" xfId="0" applyNumberFormat="1" applyFont="1" applyFill="1" applyBorder="1" applyAlignment="1">
      <alignment horizontal="left"/>
    </xf>
    <xf numFmtId="0" fontId="10" fillId="0" borderId="6" xfId="0" quotePrefix="1" applyFont="1" applyBorder="1" applyAlignment="1">
      <alignment horizontal="left"/>
    </xf>
    <xf numFmtId="0" fontId="10" fillId="3" borderId="0" xfId="0" applyFont="1" applyFill="1"/>
    <xf numFmtId="0" fontId="12" fillId="3" borderId="0" xfId="0" applyFont="1" applyFill="1" applyAlignment="1">
      <alignment horizontal="centerContinuous"/>
    </xf>
    <xf numFmtId="0" fontId="10" fillId="3" borderId="0" xfId="0" applyFont="1" applyFill="1" applyAlignment="1">
      <alignment horizontal="centerContinuous"/>
    </xf>
    <xf numFmtId="1" fontId="10" fillId="3" borderId="0" xfId="0" applyNumberFormat="1" applyFont="1" applyFill="1" applyAlignment="1">
      <alignment horizontal="centerContinuous"/>
    </xf>
    <xf numFmtId="0" fontId="12" fillId="3" borderId="0" xfId="0" applyFont="1" applyFill="1" applyAlignment="1">
      <alignment horizontal="right"/>
    </xf>
    <xf numFmtId="4" fontId="12" fillId="3" borderId="0" xfId="0" applyNumberFormat="1" applyFont="1" applyFill="1"/>
    <xf numFmtId="0" fontId="7" fillId="0" borderId="0" xfId="0" applyFont="1" applyAlignment="1">
      <alignment horizontal="centerContinuous"/>
    </xf>
    <xf numFmtId="0" fontId="13" fillId="2" borderId="3" xfId="0" quotePrefix="1" applyFont="1" applyFill="1" applyBorder="1" applyAlignment="1">
      <alignment horizontal="left"/>
    </xf>
    <xf numFmtId="0" fontId="10" fillId="2" borderId="3" xfId="0" applyFont="1" applyFill="1" applyBorder="1"/>
    <xf numFmtId="0" fontId="10" fillId="2" borderId="17" xfId="0" applyFont="1" applyFill="1" applyBorder="1"/>
    <xf numFmtId="2" fontId="10" fillId="2" borderId="17" xfId="0" applyNumberFormat="1" applyFont="1" applyFill="1" applyBorder="1" applyAlignment="1">
      <alignment horizontal="center"/>
    </xf>
    <xf numFmtId="0" fontId="13" fillId="2" borderId="18" xfId="0" quotePrefix="1" applyFont="1" applyFill="1" applyBorder="1" applyAlignment="1">
      <alignment horizontal="center"/>
    </xf>
    <xf numFmtId="0" fontId="12" fillId="2" borderId="18" xfId="2" applyFont="1" applyFill="1" applyBorder="1" applyAlignment="1">
      <alignment horizontal="center"/>
    </xf>
    <xf numFmtId="0" fontId="17" fillId="2" borderId="14" xfId="2" applyFont="1" applyFill="1" applyBorder="1" applyAlignment="1">
      <alignment horizontal="centerContinuous"/>
    </xf>
    <xf numFmtId="0" fontId="17" fillId="2" borderId="1" xfId="2" applyFont="1" applyFill="1" applyBorder="1" applyAlignment="1">
      <alignment horizontal="center"/>
    </xf>
    <xf numFmtId="0" fontId="1" fillId="2" borderId="2" xfId="2" applyFont="1" applyFill="1" applyBorder="1" applyAlignment="1">
      <alignment horizontal="centerContinuous"/>
    </xf>
    <xf numFmtId="0" fontId="1" fillId="2" borderId="1" xfId="2" applyFont="1" applyFill="1" applyBorder="1" applyAlignment="1">
      <alignment horizontal="centerContinuous"/>
    </xf>
    <xf numFmtId="0" fontId="0" fillId="0" borderId="0" xfId="0" applyProtection="1">
      <protection hidden="1"/>
    </xf>
    <xf numFmtId="0" fontId="0" fillId="0" borderId="0" xfId="0" applyAlignment="1" applyProtection="1">
      <alignment horizontal="center"/>
      <protection hidden="1"/>
    </xf>
    <xf numFmtId="2" fontId="0" fillId="0" borderId="0" xfId="0" applyNumberFormat="1" applyAlignment="1" applyProtection="1">
      <alignment horizontal="center"/>
      <protection hidden="1"/>
    </xf>
    <xf numFmtId="0" fontId="20" fillId="4" borderId="3" xfId="0" applyFont="1" applyFill="1" applyBorder="1" applyAlignment="1" applyProtection="1">
      <alignment horizontal="center"/>
      <protection hidden="1"/>
    </xf>
    <xf numFmtId="0" fontId="20" fillId="4" borderId="5" xfId="0" applyFont="1" applyFill="1" applyBorder="1" applyAlignment="1" applyProtection="1">
      <alignment horizontal="center" wrapText="1"/>
      <protection hidden="1"/>
    </xf>
    <xf numFmtId="0" fontId="20" fillId="4" borderId="15" xfId="0" applyFont="1" applyFill="1" applyBorder="1" applyAlignment="1" applyProtection="1">
      <alignment horizontal="center"/>
      <protection hidden="1"/>
    </xf>
    <xf numFmtId="174" fontId="20" fillId="0" borderId="21" xfId="0" applyNumberFormat="1" applyFont="1" applyBorder="1" applyProtection="1">
      <protection hidden="1"/>
    </xf>
    <xf numFmtId="0" fontId="20" fillId="0" borderId="22" xfId="0" applyFont="1" applyBorder="1" applyAlignment="1" applyProtection="1">
      <alignment horizontal="center"/>
      <protection hidden="1"/>
    </xf>
    <xf numFmtId="2" fontId="20" fillId="0" borderId="22" xfId="0" applyNumberFormat="1" applyFont="1" applyBorder="1" applyAlignment="1" applyProtection="1">
      <alignment horizontal="center"/>
      <protection hidden="1"/>
    </xf>
    <xf numFmtId="174" fontId="20" fillId="0" borderId="15" xfId="0" applyNumberFormat="1" applyFont="1" applyBorder="1" applyProtection="1">
      <protection hidden="1"/>
    </xf>
    <xf numFmtId="0" fontId="20" fillId="0" borderId="17" xfId="0" applyFont="1" applyBorder="1" applyAlignment="1" applyProtection="1">
      <alignment horizontal="center"/>
      <protection hidden="1"/>
    </xf>
    <xf numFmtId="2" fontId="20" fillId="0" borderId="17" xfId="0" applyNumberFormat="1" applyFont="1" applyBorder="1" applyAlignment="1" applyProtection="1">
      <alignment horizontal="center"/>
      <protection hidden="1"/>
    </xf>
    <xf numFmtId="0" fontId="20" fillId="0" borderId="23" xfId="0" applyFont="1" applyBorder="1" applyProtection="1">
      <protection hidden="1"/>
    </xf>
    <xf numFmtId="0" fontId="20" fillId="0" borderId="18" xfId="0" applyFont="1" applyBorder="1" applyProtection="1">
      <protection hidden="1"/>
    </xf>
    <xf numFmtId="0" fontId="1" fillId="0" borderId="0" xfId="0" applyFont="1" applyProtection="1">
      <protection hidden="1"/>
    </xf>
    <xf numFmtId="0" fontId="1" fillId="0" borderId="0" xfId="0" applyFont="1" applyAlignment="1" applyProtection="1">
      <alignment horizontal="center"/>
      <protection hidden="1"/>
    </xf>
    <xf numFmtId="0" fontId="20" fillId="4" borderId="8" xfId="0" applyFont="1" applyFill="1" applyBorder="1" applyAlignment="1" applyProtection="1">
      <alignment horizontal="center"/>
      <protection hidden="1"/>
    </xf>
    <xf numFmtId="2" fontId="20" fillId="4" borderId="4" xfId="0" applyNumberFormat="1" applyFont="1" applyFill="1" applyBorder="1" applyAlignment="1" applyProtection="1">
      <alignment horizontal="centerContinuous"/>
      <protection hidden="1"/>
    </xf>
    <xf numFmtId="2" fontId="20" fillId="4" borderId="5" xfId="0" applyNumberFormat="1" applyFont="1" applyFill="1" applyBorder="1" applyAlignment="1" applyProtection="1">
      <alignment horizontal="centerContinuous"/>
      <protection hidden="1"/>
    </xf>
    <xf numFmtId="0" fontId="21" fillId="4" borderId="15" xfId="0" applyFont="1" applyFill="1" applyBorder="1" applyAlignment="1" applyProtection="1">
      <alignment horizontal="center"/>
      <protection hidden="1"/>
    </xf>
    <xf numFmtId="0" fontId="20" fillId="4" borderId="18" xfId="0" applyFont="1" applyFill="1" applyBorder="1" applyAlignment="1" applyProtection="1">
      <alignment horizontal="center"/>
      <protection hidden="1"/>
    </xf>
    <xf numFmtId="2" fontId="20" fillId="4" borderId="17" xfId="0" applyNumberFormat="1" applyFont="1" applyFill="1" applyBorder="1" applyAlignment="1" applyProtection="1">
      <alignment horizontal="center"/>
      <protection hidden="1"/>
    </xf>
    <xf numFmtId="174" fontId="23" fillId="0" borderId="21" xfId="0" applyNumberFormat="1" applyFont="1" applyBorder="1" applyProtection="1">
      <protection hidden="1"/>
    </xf>
    <xf numFmtId="0" fontId="23" fillId="0" borderId="23" xfId="0" applyFont="1" applyBorder="1" applyProtection="1">
      <protection hidden="1"/>
    </xf>
    <xf numFmtId="0" fontId="23" fillId="0" borderId="22" xfId="0" applyFont="1" applyBorder="1" applyAlignment="1" applyProtection="1">
      <alignment horizontal="center"/>
      <protection hidden="1"/>
    </xf>
    <xf numFmtId="2" fontId="23" fillId="0" borderId="22" xfId="0" applyNumberFormat="1" applyFont="1" applyBorder="1" applyAlignment="1" applyProtection="1">
      <alignment horizontal="center"/>
      <protection hidden="1"/>
    </xf>
    <xf numFmtId="0" fontId="2" fillId="0" borderId="0" xfId="0" applyFont="1" applyProtection="1">
      <protection hidden="1"/>
    </xf>
    <xf numFmtId="16" fontId="20" fillId="0" borderId="22" xfId="0" applyNumberFormat="1" applyFont="1" applyBorder="1" applyAlignment="1" applyProtection="1">
      <alignment horizontal="center"/>
      <protection hidden="1"/>
    </xf>
    <xf numFmtId="0" fontId="0" fillId="4" borderId="8" xfId="0" applyFill="1" applyBorder="1" applyProtection="1">
      <protection hidden="1"/>
    </xf>
    <xf numFmtId="0" fontId="0" fillId="4" borderId="5" xfId="0" applyFill="1" applyBorder="1" applyProtection="1">
      <protection hidden="1"/>
    </xf>
    <xf numFmtId="0" fontId="3" fillId="4" borderId="5" xfId="0" applyFont="1" applyFill="1" applyBorder="1" applyAlignment="1" applyProtection="1">
      <alignment horizontal="center" wrapText="1"/>
      <protection hidden="1"/>
    </xf>
    <xf numFmtId="0" fontId="20" fillId="4" borderId="4" xfId="0" applyFont="1" applyFill="1" applyBorder="1" applyProtection="1">
      <protection hidden="1"/>
    </xf>
    <xf numFmtId="0" fontId="20" fillId="4" borderId="4" xfId="0" applyFont="1" applyFill="1" applyBorder="1" applyAlignment="1" applyProtection="1">
      <alignment horizontal="centerContinuous" wrapText="1"/>
      <protection hidden="1"/>
    </xf>
    <xf numFmtId="0" fontId="3" fillId="4" borderId="17" xfId="0" applyFont="1" applyFill="1" applyBorder="1" applyAlignment="1" applyProtection="1">
      <alignment horizontal="center" wrapText="1"/>
      <protection hidden="1"/>
    </xf>
    <xf numFmtId="0" fontId="20" fillId="4" borderId="16" xfId="0" applyFont="1" applyFill="1" applyBorder="1" applyAlignment="1" applyProtection="1">
      <alignment horizontal="centerContinuous" wrapText="1"/>
      <protection hidden="1"/>
    </xf>
    <xf numFmtId="0" fontId="20" fillId="4" borderId="17" xfId="0" applyFont="1" applyFill="1" applyBorder="1" applyAlignment="1" applyProtection="1">
      <alignment horizontal="centerContinuous" wrapText="1"/>
      <protection hidden="1"/>
    </xf>
    <xf numFmtId="0" fontId="20" fillId="0" borderId="24" xfId="0" applyFont="1" applyBorder="1" applyAlignment="1" applyProtection="1">
      <alignment horizontal="centerContinuous"/>
      <protection hidden="1"/>
    </xf>
    <xf numFmtId="0" fontId="20" fillId="0" borderId="22" xfId="0" applyFont="1" applyBorder="1" applyAlignment="1" applyProtection="1">
      <alignment horizontal="centerContinuous"/>
      <protection hidden="1"/>
    </xf>
    <xf numFmtId="0" fontId="20" fillId="0" borderId="16" xfId="0" applyFont="1" applyBorder="1" applyAlignment="1" applyProtection="1">
      <alignment horizontal="centerContinuous"/>
      <protection hidden="1"/>
    </xf>
    <xf numFmtId="0" fontId="20" fillId="0" borderId="17" xfId="0" applyFont="1" applyBorder="1" applyAlignment="1" applyProtection="1">
      <alignment horizontal="centerContinuous"/>
      <protection hidden="1"/>
    </xf>
    <xf numFmtId="0" fontId="10" fillId="2" borderId="6" xfId="0" applyFont="1" applyFill="1" applyBorder="1" applyAlignment="1" applyProtection="1">
      <alignment horizontal="center"/>
      <protection locked="0"/>
    </xf>
    <xf numFmtId="0" fontId="10" fillId="2" borderId="15" xfId="0" applyFont="1" applyFill="1" applyBorder="1" applyAlignment="1" applyProtection="1">
      <alignment horizontal="center"/>
      <protection locked="0"/>
    </xf>
    <xf numFmtId="0" fontId="0" fillId="0" borderId="0" xfId="0" quotePrefix="1" applyAlignment="1" applyProtection="1">
      <alignment horizontal="left"/>
      <protection hidden="1"/>
    </xf>
    <xf numFmtId="0" fontId="12" fillId="2" borderId="1" xfId="0" quotePrefix="1" applyFont="1" applyFill="1" applyBorder="1" applyAlignment="1">
      <alignment horizontal="left"/>
    </xf>
    <xf numFmtId="166" fontId="10" fillId="3" borderId="0" xfId="0" applyNumberFormat="1" applyFont="1" applyFill="1" applyAlignment="1">
      <alignment horizontal="center"/>
    </xf>
    <xf numFmtId="0" fontId="13" fillId="3" borderId="0" xfId="0" applyFont="1" applyFill="1" applyAlignment="1">
      <alignment horizontal="center"/>
    </xf>
    <xf numFmtId="166" fontId="14" fillId="3" borderId="0" xfId="0" applyNumberFormat="1" applyFont="1" applyFill="1" applyAlignment="1">
      <alignment horizontal="center"/>
    </xf>
    <xf numFmtId="0" fontId="14" fillId="3" borderId="0" xfId="0" applyFont="1" applyFill="1" applyAlignment="1">
      <alignment horizontal="center"/>
    </xf>
    <xf numFmtId="168" fontId="10" fillId="3" borderId="0" xfId="0" applyNumberFormat="1" applyFont="1" applyFill="1" applyAlignment="1">
      <alignment horizontal="center"/>
    </xf>
    <xf numFmtId="168" fontId="10" fillId="3" borderId="0" xfId="0" applyNumberFormat="1" applyFont="1" applyFill="1" applyAlignment="1">
      <alignment horizontal="right"/>
    </xf>
    <xf numFmtId="2" fontId="10" fillId="3" borderId="0" xfId="0" quotePrefix="1" applyNumberFormat="1" applyFont="1" applyFill="1" applyAlignment="1">
      <alignment horizontal="right"/>
    </xf>
    <xf numFmtId="2" fontId="10" fillId="3" borderId="0" xfId="0" applyNumberFormat="1" applyFont="1" applyFill="1"/>
    <xf numFmtId="0" fontId="10" fillId="3" borderId="0" xfId="0" applyFont="1" applyFill="1" applyAlignment="1">
      <alignment horizontal="center"/>
    </xf>
    <xf numFmtId="0" fontId="0" fillId="3" borderId="0" xfId="0" applyFill="1"/>
    <xf numFmtId="14" fontId="18" fillId="3" borderId="0" xfId="0" applyNumberFormat="1" applyFont="1" applyFill="1" applyAlignment="1">
      <alignment horizontal="left"/>
    </xf>
    <xf numFmtId="0" fontId="14" fillId="2" borderId="18" xfId="0" quotePrefix="1" applyFont="1" applyFill="1" applyBorder="1" applyAlignment="1">
      <alignment horizontal="center"/>
    </xf>
    <xf numFmtId="0" fontId="19" fillId="0" borderId="16" xfId="1" quotePrefix="1" applyFont="1" applyBorder="1" applyAlignment="1">
      <alignment horizontal="left"/>
    </xf>
    <xf numFmtId="0" fontId="0" fillId="2" borderId="0" xfId="0" applyFill="1"/>
    <xf numFmtId="0" fontId="19" fillId="0" borderId="14" xfId="0" applyFont="1" applyBorder="1" applyAlignment="1">
      <alignment horizontal="left"/>
    </xf>
    <xf numFmtId="0" fontId="12" fillId="0" borderId="2" xfId="0" applyFont="1" applyBorder="1" applyAlignment="1">
      <alignment horizontal="centerContinuous"/>
    </xf>
    <xf numFmtId="0" fontId="0" fillId="0" borderId="20" xfId="0" applyBorder="1"/>
    <xf numFmtId="0" fontId="19" fillId="0" borderId="2" xfId="0" quotePrefix="1" applyFont="1" applyBorder="1" applyAlignment="1">
      <alignment horizontal="left"/>
    </xf>
    <xf numFmtId="166" fontId="10" fillId="0" borderId="18" xfId="0" quotePrefix="1" applyNumberFormat="1" applyFont="1" applyBorder="1" applyAlignment="1" applyProtection="1">
      <alignment horizontal="center"/>
      <protection locked="0"/>
    </xf>
    <xf numFmtId="0" fontId="10" fillId="0" borderId="2" xfId="0" applyFont="1" applyBorder="1"/>
    <xf numFmtId="2" fontId="10" fillId="0" borderId="2" xfId="0" applyNumberFormat="1" applyFont="1" applyBorder="1"/>
    <xf numFmtId="0" fontId="0" fillId="0" borderId="2" xfId="0" applyBorder="1"/>
    <xf numFmtId="14" fontId="18" fillId="0" borderId="20" xfId="0" applyNumberFormat="1" applyFont="1" applyBorder="1" applyAlignment="1">
      <alignment horizontal="left"/>
    </xf>
    <xf numFmtId="0" fontId="10" fillId="0" borderId="20" xfId="0" applyFont="1" applyBorder="1"/>
    <xf numFmtId="0" fontId="10" fillId="2" borderId="17" xfId="0" applyFont="1" applyFill="1" applyBorder="1" applyAlignment="1">
      <alignment horizontal="center"/>
    </xf>
    <xf numFmtId="2" fontId="12" fillId="2" borderId="16" xfId="0" applyNumberFormat="1" applyFont="1" applyFill="1" applyBorder="1" applyAlignment="1">
      <alignment horizontal="right"/>
    </xf>
    <xf numFmtId="2" fontId="12" fillId="2" borderId="2" xfId="0" applyNumberFormat="1" applyFont="1" applyFill="1" applyBorder="1" applyAlignment="1">
      <alignment horizontal="right"/>
    </xf>
    <xf numFmtId="0" fontId="10" fillId="2" borderId="20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left"/>
    </xf>
    <xf numFmtId="166" fontId="10" fillId="3" borderId="3" xfId="0" applyNumberFormat="1" applyFont="1" applyFill="1" applyBorder="1" applyAlignment="1">
      <alignment horizontal="center"/>
    </xf>
    <xf numFmtId="166" fontId="10" fillId="3" borderId="6" xfId="0" applyNumberFormat="1" applyFont="1" applyFill="1" applyBorder="1" applyAlignment="1">
      <alignment horizontal="center"/>
    </xf>
    <xf numFmtId="0" fontId="0" fillId="0" borderId="0" xfId="0" applyAlignment="1">
      <alignment horizontal="centerContinuous"/>
    </xf>
    <xf numFmtId="14" fontId="8" fillId="0" borderId="0" xfId="0" quotePrefix="1" applyNumberFormat="1" applyFont="1" applyAlignment="1">
      <alignment horizontal="centerContinuous"/>
    </xf>
    <xf numFmtId="0" fontId="6" fillId="0" borderId="0" xfId="0" applyFont="1"/>
    <xf numFmtId="14" fontId="8" fillId="0" borderId="0" xfId="0" quotePrefix="1" applyNumberFormat="1" applyFont="1"/>
    <xf numFmtId="166" fontId="10" fillId="0" borderId="8" xfId="0" quotePrefix="1" applyNumberFormat="1" applyFont="1" applyBorder="1" applyAlignment="1" applyProtection="1">
      <alignment horizontal="center"/>
      <protection locked="0"/>
    </xf>
    <xf numFmtId="0" fontId="12" fillId="3" borderId="0" xfId="0" quotePrefix="1" applyFont="1" applyFill="1" applyAlignment="1">
      <alignment horizontal="left"/>
    </xf>
    <xf numFmtId="2" fontId="12" fillId="3" borderId="0" xfId="0" applyNumberFormat="1" applyFont="1" applyFill="1" applyAlignment="1">
      <alignment horizontal="right"/>
    </xf>
    <xf numFmtId="1" fontId="12" fillId="3" borderId="0" xfId="0" applyNumberFormat="1" applyFont="1" applyFill="1" applyAlignment="1">
      <alignment horizontal="center"/>
    </xf>
    <xf numFmtId="0" fontId="6" fillId="0" borderId="0" xfId="0" applyFont="1" applyAlignment="1">
      <alignment horizontal="left"/>
    </xf>
    <xf numFmtId="0" fontId="12" fillId="2" borderId="15" xfId="0" quotePrefix="1" applyFont="1" applyFill="1" applyBorder="1" applyAlignment="1">
      <alignment horizontal="left"/>
    </xf>
    <xf numFmtId="166" fontId="10" fillId="2" borderId="7" xfId="0" applyNumberFormat="1" applyFont="1" applyFill="1" applyBorder="1" applyAlignment="1">
      <alignment horizontal="right"/>
    </xf>
    <xf numFmtId="0" fontId="14" fillId="3" borderId="0" xfId="0" applyFont="1" applyFill="1"/>
    <xf numFmtId="0" fontId="10" fillId="3" borderId="0" xfId="0" applyFont="1" applyFill="1" applyAlignment="1" applyProtection="1">
      <alignment horizontal="center"/>
      <protection locked="0"/>
    </xf>
    <xf numFmtId="166" fontId="10" fillId="3" borderId="0" xfId="0" applyNumberFormat="1" applyFont="1" applyFill="1" applyAlignment="1" applyProtection="1">
      <alignment horizontal="center"/>
      <protection locked="0"/>
    </xf>
    <xf numFmtId="0" fontId="10" fillId="3" borderId="0" xfId="0" applyFont="1" applyFill="1" applyAlignment="1">
      <alignment horizontal="left"/>
    </xf>
    <xf numFmtId="0" fontId="13" fillId="3" borderId="0" xfId="0" applyFont="1" applyFill="1"/>
    <xf numFmtId="168" fontId="13" fillId="3" borderId="0" xfId="0" applyNumberFormat="1" applyFont="1" applyFill="1" applyAlignment="1">
      <alignment horizontal="centerContinuous"/>
    </xf>
    <xf numFmtId="166" fontId="13" fillId="3" borderId="0" xfId="0" applyNumberFormat="1" applyFont="1" applyFill="1" applyAlignment="1">
      <alignment horizontal="centerContinuous"/>
    </xf>
    <xf numFmtId="166" fontId="13" fillId="3" borderId="0" xfId="0" applyNumberFormat="1" applyFont="1" applyFill="1" applyAlignment="1">
      <alignment horizontal="center"/>
    </xf>
    <xf numFmtId="9" fontId="10" fillId="3" borderId="0" xfId="0" applyNumberFormat="1" applyFont="1" applyFill="1" applyAlignment="1" applyProtection="1">
      <alignment horizontal="center"/>
      <protection locked="0"/>
    </xf>
    <xf numFmtId="168" fontId="13" fillId="3" borderId="0" xfId="0" applyNumberFormat="1" applyFont="1" applyFill="1"/>
    <xf numFmtId="0" fontId="13" fillId="3" borderId="0" xfId="0" quotePrefix="1" applyFont="1" applyFill="1" applyAlignment="1">
      <alignment horizontal="center"/>
    </xf>
    <xf numFmtId="2" fontId="10" fillId="3" borderId="0" xfId="0" applyNumberFormat="1" applyFont="1" applyFill="1" applyAlignment="1">
      <alignment horizontal="center"/>
    </xf>
    <xf numFmtId="0" fontId="6" fillId="0" borderId="0" xfId="0" applyFont="1" applyAlignment="1">
      <alignment horizontal="centerContinuous"/>
    </xf>
    <xf numFmtId="0" fontId="19" fillId="0" borderId="0" xfId="0" applyFont="1" applyAlignment="1">
      <alignment horizontal="left"/>
    </xf>
    <xf numFmtId="0" fontId="19" fillId="0" borderId="0" xfId="0" quotePrefix="1" applyFont="1" applyAlignment="1">
      <alignment horizontal="left"/>
    </xf>
    <xf numFmtId="166" fontId="12" fillId="0" borderId="2" xfId="0" applyNumberFormat="1" applyFont="1" applyBorder="1" applyAlignment="1">
      <alignment horizontal="center"/>
    </xf>
    <xf numFmtId="0" fontId="19" fillId="0" borderId="14" xfId="0" quotePrefix="1" applyFont="1" applyBorder="1" applyAlignment="1">
      <alignment horizontal="left"/>
    </xf>
    <xf numFmtId="0" fontId="12" fillId="3" borderId="2" xfId="0" applyFont="1" applyFill="1" applyBorder="1" applyAlignment="1">
      <alignment horizontal="centerContinuous"/>
    </xf>
    <xf numFmtId="0" fontId="24" fillId="0" borderId="0" xfId="0" applyFont="1" applyAlignment="1">
      <alignment horizontal="left"/>
    </xf>
    <xf numFmtId="0" fontId="10" fillId="3" borderId="16" xfId="0" applyFont="1" applyFill="1" applyBorder="1" applyAlignment="1">
      <alignment horizontal="centerContinuous"/>
    </xf>
    <xf numFmtId="0" fontId="10" fillId="2" borderId="1" xfId="0" applyFont="1" applyFill="1" applyBorder="1"/>
    <xf numFmtId="0" fontId="12" fillId="2" borderId="20" xfId="0" applyFont="1" applyFill="1" applyBorder="1" applyAlignment="1">
      <alignment horizontal="right"/>
    </xf>
    <xf numFmtId="0" fontId="10" fillId="2" borderId="16" xfId="0" quotePrefix="1" applyFont="1" applyFill="1" applyBorder="1" applyAlignment="1">
      <alignment horizontal="left"/>
    </xf>
    <xf numFmtId="0" fontId="10" fillId="2" borderId="6" xfId="0" quotePrefix="1" applyFont="1" applyFill="1" applyBorder="1" applyAlignment="1">
      <alignment horizontal="left"/>
    </xf>
    <xf numFmtId="0" fontId="10" fillId="3" borderId="6" xfId="0" applyFont="1" applyFill="1" applyBorder="1" applyAlignment="1" applyProtection="1">
      <alignment horizontal="center"/>
      <protection locked="0"/>
    </xf>
    <xf numFmtId="1" fontId="10" fillId="2" borderId="18" xfId="0" applyNumberFormat="1" applyFont="1" applyFill="1" applyBorder="1" applyAlignment="1">
      <alignment horizontal="center"/>
    </xf>
    <xf numFmtId="166" fontId="10" fillId="2" borderId="18" xfId="0" applyNumberFormat="1" applyFont="1" applyFill="1" applyBorder="1" applyAlignment="1" applyProtection="1">
      <alignment horizontal="center"/>
      <protection locked="0"/>
    </xf>
    <xf numFmtId="0" fontId="10" fillId="2" borderId="18" xfId="0" applyFont="1" applyFill="1" applyBorder="1" applyAlignment="1" applyProtection="1">
      <alignment horizontal="center"/>
      <protection locked="0"/>
    </xf>
    <xf numFmtId="166" fontId="10" fillId="2" borderId="15" xfId="0" applyNumberFormat="1" applyFont="1" applyFill="1" applyBorder="1" applyAlignment="1" applyProtection="1">
      <alignment horizontal="center"/>
      <protection locked="0"/>
    </xf>
    <xf numFmtId="9" fontId="10" fillId="2" borderId="17" xfId="0" applyNumberFormat="1" applyFont="1" applyFill="1" applyBorder="1" applyAlignment="1" applyProtection="1">
      <alignment horizontal="center"/>
      <protection locked="0"/>
    </xf>
    <xf numFmtId="166" fontId="10" fillId="2" borderId="15" xfId="0" applyNumberFormat="1" applyFont="1" applyFill="1" applyBorder="1" applyAlignment="1">
      <alignment horizontal="center"/>
    </xf>
    <xf numFmtId="166" fontId="10" fillId="3" borderId="5" xfId="0" applyNumberFormat="1" applyFont="1" applyFill="1" applyBorder="1" applyAlignment="1">
      <alignment horizontal="center"/>
    </xf>
    <xf numFmtId="166" fontId="10" fillId="3" borderId="7" xfId="0" applyNumberFormat="1" applyFont="1" applyFill="1" applyBorder="1" applyAlignment="1">
      <alignment horizontal="center"/>
    </xf>
    <xf numFmtId="2" fontId="10" fillId="3" borderId="7" xfId="0" applyNumberFormat="1" applyFont="1" applyFill="1" applyBorder="1" applyAlignment="1">
      <alignment horizontal="center"/>
    </xf>
    <xf numFmtId="0" fontId="0" fillId="2" borderId="18" xfId="0" applyFill="1" applyBorder="1"/>
    <xf numFmtId="0" fontId="13" fillId="3" borderId="2" xfId="0" applyFont="1" applyFill="1" applyBorder="1" applyAlignment="1">
      <alignment horizontal="center"/>
    </xf>
    <xf numFmtId="0" fontId="13" fillId="3" borderId="2" xfId="0" quotePrefix="1" applyFont="1" applyFill="1" applyBorder="1" applyAlignment="1">
      <alignment horizontal="center"/>
    </xf>
    <xf numFmtId="0" fontId="13" fillId="3" borderId="20" xfId="0" applyFont="1" applyFill="1" applyBorder="1" applyAlignment="1">
      <alignment horizontal="center"/>
    </xf>
    <xf numFmtId="0" fontId="14" fillId="2" borderId="8" xfId="0" applyFont="1" applyFill="1" applyBorder="1" applyAlignment="1">
      <alignment horizontal="center"/>
    </xf>
    <xf numFmtId="0" fontId="14" fillId="2" borderId="5" xfId="0" applyFont="1" applyFill="1" applyBorder="1" applyAlignment="1">
      <alignment horizontal="center"/>
    </xf>
    <xf numFmtId="1" fontId="12" fillId="2" borderId="9" xfId="0" applyNumberFormat="1" applyFont="1" applyFill="1" applyBorder="1" applyAlignment="1">
      <alignment horizontal="center"/>
    </xf>
    <xf numFmtId="1" fontId="12" fillId="2" borderId="7" xfId="0" applyNumberFormat="1" applyFont="1" applyFill="1" applyBorder="1" applyAlignment="1">
      <alignment horizontal="center"/>
    </xf>
    <xf numFmtId="1" fontId="12" fillId="2" borderId="20" xfId="0" applyNumberFormat="1" applyFont="1" applyFill="1" applyBorder="1" applyAlignment="1">
      <alignment horizontal="center"/>
    </xf>
    <xf numFmtId="1" fontId="12" fillId="2" borderId="18" xfId="0" applyNumberFormat="1" applyFont="1" applyFill="1" applyBorder="1" applyAlignment="1">
      <alignment horizontal="center"/>
    </xf>
    <xf numFmtId="1" fontId="12" fillId="2" borderId="17" xfId="0" applyNumberFormat="1" applyFont="1" applyFill="1" applyBorder="1" applyAlignment="1">
      <alignment horizontal="center"/>
    </xf>
    <xf numFmtId="171" fontId="10" fillId="2" borderId="6" xfId="0" applyNumberFormat="1" applyFont="1" applyFill="1" applyBorder="1" applyAlignment="1" applyProtection="1">
      <alignment horizontal="center"/>
      <protection locked="0"/>
    </xf>
    <xf numFmtId="171" fontId="10" fillId="2" borderId="18" xfId="0" applyNumberFormat="1" applyFont="1" applyFill="1" applyBorder="1" applyAlignment="1" applyProtection="1">
      <alignment horizontal="center"/>
      <protection locked="0"/>
    </xf>
    <xf numFmtId="0" fontId="12" fillId="2" borderId="1" xfId="0" applyFont="1" applyFill="1" applyBorder="1" applyAlignment="1">
      <alignment horizontal="left"/>
    </xf>
    <xf numFmtId="0" fontId="13" fillId="2" borderId="6" xfId="0" applyFont="1" applyFill="1" applyBorder="1" applyAlignment="1">
      <alignment horizontal="center"/>
    </xf>
    <xf numFmtId="171" fontId="10" fillId="2" borderId="0" xfId="0" applyNumberFormat="1" applyFont="1" applyFill="1" applyAlignment="1" applyProtection="1">
      <alignment horizontal="center"/>
      <protection locked="0"/>
    </xf>
    <xf numFmtId="171" fontId="10" fillId="2" borderId="4" xfId="0" applyNumberFormat="1" applyFont="1" applyFill="1" applyBorder="1" applyAlignment="1" applyProtection="1">
      <alignment horizontal="center"/>
      <protection locked="0"/>
    </xf>
    <xf numFmtId="171" fontId="10" fillId="2" borderId="5" xfId="0" applyNumberFormat="1" applyFont="1" applyFill="1" applyBorder="1" applyAlignment="1" applyProtection="1">
      <alignment horizontal="center"/>
      <protection locked="0"/>
    </xf>
    <xf numFmtId="171" fontId="10" fillId="2" borderId="7" xfId="0" applyNumberFormat="1" applyFont="1" applyFill="1" applyBorder="1" applyAlignment="1" applyProtection="1">
      <alignment horizontal="center"/>
      <protection locked="0"/>
    </xf>
    <xf numFmtId="2" fontId="10" fillId="2" borderId="6" xfId="0" applyNumberFormat="1" applyFont="1" applyFill="1" applyBorder="1" applyAlignment="1">
      <alignment horizontal="left"/>
    </xf>
    <xf numFmtId="0" fontId="1" fillId="0" borderId="0" xfId="0" applyFont="1" applyAlignment="1" applyProtection="1">
      <alignment horizontal="center" wrapText="1"/>
      <protection hidden="1"/>
    </xf>
    <xf numFmtId="0" fontId="20" fillId="0" borderId="22" xfId="0" applyFont="1" applyBorder="1" applyProtection="1">
      <protection hidden="1"/>
    </xf>
    <xf numFmtId="0" fontId="20" fillId="0" borderId="10" xfId="0" applyFont="1" applyBorder="1" applyProtection="1">
      <protection hidden="1"/>
    </xf>
    <xf numFmtId="0" fontId="20" fillId="0" borderId="13" xfId="0" applyFont="1" applyBorder="1" applyAlignment="1" applyProtection="1">
      <alignment horizontal="center"/>
      <protection hidden="1"/>
    </xf>
    <xf numFmtId="0" fontId="20" fillId="0" borderId="23" xfId="0" quotePrefix="1" applyFont="1" applyBorder="1" applyAlignment="1" applyProtection="1">
      <alignment horizontal="left"/>
      <protection hidden="1"/>
    </xf>
    <xf numFmtId="0" fontId="20" fillId="0" borderId="23" xfId="0" applyFont="1" applyBorder="1" applyAlignment="1" applyProtection="1">
      <alignment horizontal="left"/>
      <protection hidden="1"/>
    </xf>
    <xf numFmtId="0" fontId="19" fillId="0" borderId="0" xfId="0" quotePrefix="1" applyFont="1" applyAlignment="1" applyProtection="1">
      <alignment horizontal="left" vertical="center"/>
      <protection hidden="1"/>
    </xf>
    <xf numFmtId="0" fontId="6" fillId="2" borderId="1" xfId="0" applyFont="1" applyFill="1" applyBorder="1" applyProtection="1">
      <protection hidden="1"/>
    </xf>
    <xf numFmtId="0" fontId="20" fillId="2" borderId="2" xfId="0" applyFont="1" applyFill="1" applyBorder="1" applyAlignment="1" applyProtection="1">
      <alignment horizontal="center"/>
      <protection hidden="1"/>
    </xf>
    <xf numFmtId="0" fontId="20" fillId="2" borderId="20" xfId="0" applyFont="1" applyFill="1" applyBorder="1" applyAlignment="1" applyProtection="1">
      <alignment horizontal="center"/>
      <protection hidden="1"/>
    </xf>
    <xf numFmtId="0" fontId="20" fillId="0" borderId="0" xfId="0" applyFont="1" applyAlignment="1" applyProtection="1">
      <alignment horizontal="center"/>
      <protection hidden="1"/>
    </xf>
    <xf numFmtId="2" fontId="20" fillId="0" borderId="0" xfId="0" applyNumberFormat="1" applyFont="1" applyAlignment="1" applyProtection="1">
      <alignment horizontal="center"/>
      <protection hidden="1"/>
    </xf>
    <xf numFmtId="0" fontId="20" fillId="0" borderId="10" xfId="0" quotePrefix="1" applyFont="1" applyBorder="1" applyAlignment="1" applyProtection="1">
      <alignment horizontal="left"/>
      <protection hidden="1"/>
    </xf>
    <xf numFmtId="175" fontId="0" fillId="0" borderId="0" xfId="0" applyNumberFormat="1" applyAlignment="1">
      <alignment horizontal="right"/>
    </xf>
    <xf numFmtId="0" fontId="0" fillId="0" borderId="0" xfId="0" applyAlignment="1">
      <alignment horizontal="left"/>
    </xf>
    <xf numFmtId="0" fontId="15" fillId="0" borderId="0" xfId="0" quotePrefix="1" applyFont="1" applyAlignment="1">
      <alignment horizontal="left"/>
    </xf>
    <xf numFmtId="166" fontId="10" fillId="2" borderId="17" xfId="0" applyNumberFormat="1" applyFont="1" applyFill="1" applyBorder="1" applyAlignment="1">
      <alignment horizontal="right"/>
    </xf>
    <xf numFmtId="0" fontId="20" fillId="3" borderId="0" xfId="0" applyFont="1" applyFill="1" applyAlignment="1" applyProtection="1">
      <alignment horizontal="center"/>
      <protection hidden="1"/>
    </xf>
    <xf numFmtId="0" fontId="0" fillId="2" borderId="2" xfId="0" applyFill="1" applyBorder="1"/>
    <xf numFmtId="0" fontId="18" fillId="2" borderId="2" xfId="1" quotePrefix="1" applyFont="1" applyFill="1" applyBorder="1" applyAlignment="1">
      <alignment horizontal="left"/>
    </xf>
    <xf numFmtId="2" fontId="20" fillId="0" borderId="22" xfId="0" applyNumberFormat="1" applyFont="1" applyBorder="1" applyProtection="1">
      <protection hidden="1"/>
    </xf>
    <xf numFmtId="2" fontId="20" fillId="0" borderId="13" xfId="0" applyNumberFormat="1" applyFont="1" applyBorder="1" applyAlignment="1" applyProtection="1">
      <alignment horizontal="center"/>
      <protection hidden="1"/>
    </xf>
    <xf numFmtId="14" fontId="0" fillId="0" borderId="0" xfId="0" applyNumberFormat="1" applyAlignment="1" applyProtection="1">
      <alignment horizontal="center"/>
      <protection hidden="1"/>
    </xf>
    <xf numFmtId="0" fontId="21" fillId="0" borderId="0" xfId="0" quotePrefix="1" applyFont="1" applyAlignment="1" applyProtection="1">
      <alignment horizontal="left" vertical="center"/>
      <protection hidden="1"/>
    </xf>
    <xf numFmtId="166" fontId="10" fillId="0" borderId="9" xfId="0" quotePrefix="1" applyNumberFormat="1" applyFont="1" applyBorder="1" applyAlignment="1" applyProtection="1">
      <alignment horizontal="center"/>
      <protection locked="0"/>
    </xf>
    <xf numFmtId="2" fontId="10" fillId="2" borderId="7" xfId="0" applyNumberFormat="1" applyFont="1" applyFill="1" applyBorder="1"/>
    <xf numFmtId="0" fontId="26" fillId="0" borderId="0" xfId="0" quotePrefix="1" applyFont="1" applyAlignment="1">
      <alignment horizontal="left"/>
    </xf>
    <xf numFmtId="2" fontId="12" fillId="3" borderId="0" xfId="0" quotePrefix="1" applyNumberFormat="1" applyFont="1" applyFill="1" applyAlignment="1">
      <alignment horizontal="left"/>
    </xf>
    <xf numFmtId="174" fontId="20" fillId="0" borderId="25" xfId="0" applyNumberFormat="1" applyFont="1" applyBorder="1" applyProtection="1">
      <protection hidden="1"/>
    </xf>
    <xf numFmtId="174" fontId="20" fillId="0" borderId="23" xfId="0" applyNumberFormat="1" applyFont="1" applyBorder="1" applyProtection="1">
      <protection hidden="1"/>
    </xf>
    <xf numFmtId="0" fontId="20" fillId="5" borderId="14" xfId="0" applyFont="1" applyFill="1" applyBorder="1" applyAlignment="1" applyProtection="1">
      <alignment horizontal="center" wrapText="1"/>
      <protection hidden="1"/>
    </xf>
    <xf numFmtId="0" fontId="20" fillId="5" borderId="20" xfId="0" applyFont="1" applyFill="1" applyBorder="1" applyAlignment="1" applyProtection="1">
      <alignment horizontal="center" wrapText="1"/>
      <protection hidden="1"/>
    </xf>
    <xf numFmtId="0" fontId="20" fillId="5" borderId="1" xfId="0" quotePrefix="1" applyFont="1" applyFill="1" applyBorder="1" applyAlignment="1" applyProtection="1">
      <alignment horizontal="center" wrapText="1"/>
      <protection hidden="1"/>
    </xf>
    <xf numFmtId="2" fontId="10" fillId="2" borderId="15" xfId="0" applyNumberFormat="1" applyFont="1" applyFill="1" applyBorder="1" applyAlignment="1">
      <alignment horizontal="left"/>
    </xf>
    <xf numFmtId="2" fontId="12" fillId="2" borderId="6" xfId="0" applyNumberFormat="1" applyFont="1" applyFill="1" applyBorder="1" applyAlignment="1" applyProtection="1">
      <alignment horizontal="center"/>
      <protection locked="0"/>
    </xf>
    <xf numFmtId="2" fontId="12" fillId="2" borderId="3" xfId="0" applyNumberFormat="1" applyFont="1" applyFill="1" applyBorder="1" applyAlignment="1">
      <alignment horizontal="left"/>
    </xf>
    <xf numFmtId="2" fontId="12" fillId="2" borderId="6" xfId="0" applyNumberFormat="1" applyFont="1" applyFill="1" applyBorder="1" applyAlignment="1">
      <alignment horizontal="left"/>
    </xf>
    <xf numFmtId="0" fontId="12" fillId="3" borderId="0" xfId="0" applyFont="1" applyFill="1"/>
    <xf numFmtId="1" fontId="10" fillId="3" borderId="0" xfId="0" applyNumberFormat="1" applyFont="1" applyFill="1" applyAlignment="1">
      <alignment horizontal="center"/>
    </xf>
    <xf numFmtId="0" fontId="12" fillId="2" borderId="4" xfId="0" applyFont="1" applyFill="1" applyBorder="1" applyAlignment="1">
      <alignment horizontal="centerContinuous"/>
    </xf>
    <xf numFmtId="0" fontId="10" fillId="2" borderId="4" xfId="0" applyFont="1" applyFill="1" applyBorder="1" applyAlignment="1">
      <alignment horizontal="centerContinuous"/>
    </xf>
    <xf numFmtId="1" fontId="10" fillId="2" borderId="4" xfId="0" applyNumberFormat="1" applyFont="1" applyFill="1" applyBorder="1" applyAlignment="1">
      <alignment horizontal="centerContinuous"/>
    </xf>
    <xf numFmtId="0" fontId="12" fillId="2" borderId="5" xfId="0" applyFont="1" applyFill="1" applyBorder="1" applyAlignment="1">
      <alignment horizontal="right"/>
    </xf>
    <xf numFmtId="4" fontId="12" fillId="2" borderId="8" xfId="0" applyNumberFormat="1" applyFont="1" applyFill="1" applyBorder="1"/>
    <xf numFmtId="0" fontId="0" fillId="0" borderId="16" xfId="0" applyBorder="1"/>
    <xf numFmtId="0" fontId="10" fillId="3" borderId="4" xfId="0" applyFont="1" applyFill="1" applyBorder="1"/>
    <xf numFmtId="0" fontId="12" fillId="3" borderId="4" xfId="0" applyFont="1" applyFill="1" applyBorder="1" applyAlignment="1">
      <alignment horizontal="centerContinuous"/>
    </xf>
    <xf numFmtId="0" fontId="10" fillId="3" borderId="4" xfId="0" applyFont="1" applyFill="1" applyBorder="1" applyAlignment="1">
      <alignment horizontal="centerContinuous"/>
    </xf>
    <xf numFmtId="1" fontId="10" fillId="3" borderId="4" xfId="0" applyNumberFormat="1" applyFont="1" applyFill="1" applyBorder="1" applyAlignment="1">
      <alignment horizontal="centerContinuous"/>
    </xf>
    <xf numFmtId="0" fontId="12" fillId="3" borderId="4" xfId="0" applyFont="1" applyFill="1" applyBorder="1" applyAlignment="1">
      <alignment horizontal="right"/>
    </xf>
    <xf numFmtId="4" fontId="12" fillId="3" borderId="4" xfId="0" applyNumberFormat="1" applyFont="1" applyFill="1" applyBorder="1"/>
    <xf numFmtId="0" fontId="10" fillId="3" borderId="16" xfId="0" applyFont="1" applyFill="1" applyBorder="1"/>
    <xf numFmtId="0" fontId="12" fillId="3" borderId="16" xfId="0" applyFont="1" applyFill="1" applyBorder="1" applyAlignment="1">
      <alignment horizontal="centerContinuous"/>
    </xf>
    <xf numFmtId="1" fontId="10" fillId="3" borderId="16" xfId="0" applyNumberFormat="1" applyFont="1" applyFill="1" applyBorder="1" applyAlignment="1">
      <alignment horizontal="centerContinuous"/>
    </xf>
    <xf numFmtId="0" fontId="12" fillId="3" borderId="16" xfId="0" applyFont="1" applyFill="1" applyBorder="1" applyAlignment="1">
      <alignment horizontal="right"/>
    </xf>
    <xf numFmtId="4" fontId="12" fillId="3" borderId="16" xfId="0" applyNumberFormat="1" applyFont="1" applyFill="1" applyBorder="1"/>
    <xf numFmtId="0" fontId="10" fillId="0" borderId="16" xfId="0" applyFont="1" applyBorder="1"/>
    <xf numFmtId="0" fontId="10" fillId="0" borderId="17" xfId="0" applyFont="1" applyBorder="1"/>
    <xf numFmtId="180" fontId="8" fillId="0" borderId="0" xfId="0" quotePrefix="1" applyNumberFormat="1" applyFont="1" applyAlignment="1">
      <alignment horizontal="centerContinuous"/>
    </xf>
    <xf numFmtId="180" fontId="20" fillId="3" borderId="0" xfId="0" applyNumberFormat="1" applyFont="1" applyFill="1" applyAlignment="1" applyProtection="1">
      <alignment horizontal="right"/>
      <protection hidden="1"/>
    </xf>
    <xf numFmtId="180" fontId="0" fillId="0" borderId="0" xfId="0" applyNumberFormat="1" applyAlignment="1" applyProtection="1">
      <alignment horizontal="center"/>
      <protection hidden="1"/>
    </xf>
    <xf numFmtId="14" fontId="18" fillId="3" borderId="16" xfId="0" applyNumberFormat="1" applyFont="1" applyFill="1" applyBorder="1"/>
    <xf numFmtId="3" fontId="0" fillId="0" borderId="0" xfId="0" applyNumberFormat="1"/>
    <xf numFmtId="182" fontId="15" fillId="0" borderId="0" xfId="0" applyNumberFormat="1" applyFont="1"/>
    <xf numFmtId="3" fontId="0" fillId="0" borderId="0" xfId="0" applyNumberFormat="1" applyAlignment="1">
      <alignment horizontal="right"/>
    </xf>
    <xf numFmtId="4" fontId="0" fillId="0" borderId="0" xfId="0" applyNumberFormat="1"/>
    <xf numFmtId="181" fontId="0" fillId="0" borderId="0" xfId="0" applyNumberFormat="1"/>
    <xf numFmtId="3" fontId="6" fillId="0" borderId="0" xfId="0" applyNumberFormat="1" applyFont="1"/>
    <xf numFmtId="0" fontId="9" fillId="0" borderId="2" xfId="0" quotePrefix="1" applyFont="1" applyBorder="1" applyAlignment="1" applyProtection="1">
      <alignment horizontal="center"/>
      <protection locked="0"/>
    </xf>
    <xf numFmtId="166" fontId="3" fillId="5" borderId="6" xfId="0" applyNumberFormat="1" applyFont="1" applyFill="1" applyBorder="1" applyAlignment="1">
      <alignment horizontal="center"/>
    </xf>
    <xf numFmtId="166" fontId="1" fillId="5" borderId="4" xfId="0" applyNumberFormat="1" applyFont="1" applyFill="1" applyBorder="1" applyAlignment="1">
      <alignment horizontal="center"/>
    </xf>
    <xf numFmtId="166" fontId="3" fillId="5" borderId="0" xfId="0" applyNumberFormat="1" applyFont="1" applyFill="1" applyAlignment="1">
      <alignment horizontal="center"/>
    </xf>
    <xf numFmtId="2" fontId="20" fillId="6" borderId="22" xfId="0" applyNumberFormat="1" applyFont="1" applyFill="1" applyBorder="1" applyAlignment="1" applyProtection="1">
      <alignment horizontal="center"/>
      <protection hidden="1"/>
    </xf>
    <xf numFmtId="2" fontId="20" fillId="3" borderId="22" xfId="0" applyNumberFormat="1" applyFont="1" applyFill="1" applyBorder="1" applyAlignment="1" applyProtection="1">
      <alignment horizontal="center"/>
      <protection hidden="1"/>
    </xf>
    <xf numFmtId="171" fontId="10" fillId="0" borderId="0" xfId="0" applyNumberFormat="1" applyFont="1"/>
    <xf numFmtId="172" fontId="10" fillId="0" borderId="0" xfId="0" applyNumberFormat="1" applyFont="1"/>
    <xf numFmtId="2" fontId="20" fillId="5" borderId="22" xfId="0" applyNumberFormat="1" applyFont="1" applyFill="1" applyBorder="1" applyAlignment="1" applyProtection="1">
      <alignment horizontal="center"/>
      <protection hidden="1"/>
    </xf>
    <xf numFmtId="0" fontId="0" fillId="5" borderId="0" xfId="0" applyFill="1" applyProtection="1">
      <protection hidden="1"/>
    </xf>
    <xf numFmtId="2" fontId="20" fillId="7" borderId="22" xfId="0" applyNumberFormat="1" applyFont="1" applyFill="1" applyBorder="1" applyAlignment="1" applyProtection="1">
      <alignment horizontal="center"/>
      <protection hidden="1"/>
    </xf>
    <xf numFmtId="0" fontId="0" fillId="6" borderId="0" xfId="0" applyFill="1" applyProtection="1">
      <protection hidden="1"/>
    </xf>
    <xf numFmtId="2" fontId="20" fillId="8" borderId="22" xfId="0" applyNumberFormat="1" applyFont="1" applyFill="1" applyBorder="1" applyAlignment="1" applyProtection="1">
      <alignment horizontal="center"/>
      <protection hidden="1"/>
    </xf>
    <xf numFmtId="2" fontId="20" fillId="8" borderId="13" xfId="0" applyNumberFormat="1" applyFont="1" applyFill="1" applyBorder="1" applyAlignment="1" applyProtection="1">
      <alignment horizontal="center"/>
      <protection hidden="1"/>
    </xf>
    <xf numFmtId="174" fontId="20" fillId="6" borderId="21" xfId="0" applyNumberFormat="1" applyFont="1" applyFill="1" applyBorder="1" applyProtection="1">
      <protection hidden="1"/>
    </xf>
    <xf numFmtId="16" fontId="10" fillId="2" borderId="6" xfId="0" quotePrefix="1" applyNumberFormat="1" applyFont="1" applyFill="1" applyBorder="1" applyAlignment="1" applyProtection="1">
      <alignment horizontal="center"/>
      <protection locked="0"/>
    </xf>
    <xf numFmtId="0" fontId="10" fillId="2" borderId="6" xfId="0" quotePrefix="1" applyFont="1" applyFill="1" applyBorder="1" applyAlignment="1" applyProtection="1">
      <alignment horizontal="center"/>
      <protection locked="0"/>
    </xf>
    <xf numFmtId="0" fontId="12" fillId="2" borderId="6" xfId="0" quotePrefix="1" applyFont="1" applyFill="1" applyBorder="1" applyAlignment="1" applyProtection="1">
      <alignment horizontal="center"/>
      <protection locked="0"/>
    </xf>
    <xf numFmtId="0" fontId="10" fillId="2" borderId="15" xfId="0" quotePrefix="1" applyFont="1" applyFill="1" applyBorder="1" applyAlignment="1" applyProtection="1">
      <alignment horizontal="center"/>
      <protection locked="0"/>
    </xf>
    <xf numFmtId="171" fontId="12" fillId="2" borderId="9" xfId="0" applyNumberFormat="1" applyFont="1" applyFill="1" applyBorder="1" applyAlignment="1">
      <alignment horizontal="center"/>
    </xf>
    <xf numFmtId="171" fontId="12" fillId="2" borderId="7" xfId="0" applyNumberFormat="1" applyFont="1" applyFill="1" applyBorder="1" applyAlignment="1">
      <alignment horizontal="center"/>
    </xf>
    <xf numFmtId="168" fontId="12" fillId="2" borderId="0" xfId="0" applyNumberFormat="1" applyFont="1" applyFill="1" applyAlignment="1">
      <alignment horizontal="center"/>
    </xf>
    <xf numFmtId="178" fontId="25" fillId="0" borderId="0" xfId="0" applyNumberFormat="1" applyFont="1" applyAlignment="1" applyProtection="1">
      <alignment horizontal="right"/>
      <protection locked="0"/>
    </xf>
    <xf numFmtId="183" fontId="25" fillId="0" borderId="0" xfId="0" applyNumberFormat="1" applyFont="1" applyAlignment="1" applyProtection="1">
      <alignment horizontal="right"/>
      <protection locked="0"/>
    </xf>
    <xf numFmtId="183" fontId="25" fillId="0" borderId="12" xfId="0" applyNumberFormat="1" applyFont="1" applyBorder="1" applyAlignment="1" applyProtection="1">
      <alignment horizontal="right"/>
      <protection locked="0"/>
    </xf>
    <xf numFmtId="183" fontId="25" fillId="0" borderId="10" xfId="0" applyNumberFormat="1" applyFont="1" applyBorder="1" applyAlignment="1" applyProtection="1">
      <alignment horizontal="right"/>
      <protection locked="0"/>
    </xf>
    <xf numFmtId="166" fontId="3" fillId="5" borderId="12" xfId="0" applyNumberFormat="1" applyFont="1" applyFill="1" applyBorder="1" applyAlignment="1">
      <alignment horizontal="center"/>
    </xf>
    <xf numFmtId="0" fontId="25" fillId="0" borderId="9" xfId="0" applyFont="1" applyBorder="1" applyAlignment="1" applyProtection="1">
      <alignment horizontal="right"/>
      <protection locked="0"/>
    </xf>
    <xf numFmtId="0" fontId="25" fillId="0" borderId="10" xfId="0" applyFont="1" applyBorder="1" applyAlignment="1" applyProtection="1">
      <alignment horizontal="right"/>
      <protection locked="0"/>
    </xf>
    <xf numFmtId="166" fontId="3" fillId="5" borderId="13" xfId="0" applyNumberFormat="1" applyFont="1" applyFill="1" applyBorder="1" applyAlignment="1">
      <alignment horizontal="center"/>
    </xf>
    <xf numFmtId="0" fontId="3" fillId="0" borderId="0" xfId="0" applyFont="1"/>
    <xf numFmtId="44" fontId="0" fillId="0" borderId="0" xfId="0" applyNumberFormat="1"/>
    <xf numFmtId="0" fontId="0" fillId="0" borderId="0" xfId="3" applyNumberFormat="1" applyFont="1"/>
    <xf numFmtId="183" fontId="25" fillId="9" borderId="0" xfId="0" applyNumberFormat="1" applyFont="1" applyFill="1" applyAlignment="1" applyProtection="1">
      <alignment horizontal="right"/>
      <protection locked="0"/>
    </xf>
    <xf numFmtId="0" fontId="29" fillId="9" borderId="9" xfId="0" applyFont="1" applyFill="1" applyBorder="1"/>
    <xf numFmtId="0" fontId="29" fillId="9" borderId="9" xfId="0" applyFont="1" applyFill="1" applyBorder="1" applyProtection="1">
      <protection locked="0"/>
    </xf>
    <xf numFmtId="176" fontId="29" fillId="9" borderId="6" xfId="0" applyNumberFormat="1" applyFont="1" applyFill="1" applyBorder="1" applyAlignment="1">
      <alignment horizontal="center"/>
    </xf>
    <xf numFmtId="176" fontId="29" fillId="9" borderId="0" xfId="0" applyNumberFormat="1" applyFont="1" applyFill="1" applyAlignment="1">
      <alignment horizontal="center"/>
    </xf>
    <xf numFmtId="0" fontId="29" fillId="9" borderId="9" xfId="0" applyFont="1" applyFill="1" applyBorder="1" applyAlignment="1" applyProtection="1">
      <alignment horizontal="right"/>
      <protection locked="0"/>
    </xf>
    <xf numFmtId="0" fontId="29" fillId="9" borderId="10" xfId="0" applyFont="1" applyFill="1" applyBorder="1" applyAlignment="1" applyProtection="1">
      <alignment horizontal="right"/>
      <protection locked="0"/>
    </xf>
    <xf numFmtId="0" fontId="29" fillId="9" borderId="10" xfId="0" applyFont="1" applyFill="1" applyBorder="1"/>
    <xf numFmtId="176" fontId="29" fillId="9" borderId="11" xfId="0" applyNumberFormat="1" applyFont="1" applyFill="1" applyBorder="1" applyAlignment="1">
      <alignment horizontal="center"/>
    </xf>
    <xf numFmtId="176" fontId="29" fillId="9" borderId="12" xfId="0" applyNumberFormat="1" applyFont="1" applyFill="1" applyBorder="1" applyAlignment="1">
      <alignment horizontal="center"/>
    </xf>
    <xf numFmtId="0" fontId="1" fillId="11" borderId="0" xfId="0" applyFont="1" applyFill="1" applyAlignment="1">
      <alignment horizontal="center" vertical="center"/>
    </xf>
    <xf numFmtId="166" fontId="3" fillId="9" borderId="0" xfId="0" applyNumberFormat="1" applyFont="1" applyFill="1" applyAlignment="1">
      <alignment horizontal="center"/>
    </xf>
    <xf numFmtId="0" fontId="3" fillId="0" borderId="0" xfId="0" applyFont="1" applyAlignment="1">
      <alignment horizontal="centerContinuous"/>
    </xf>
    <xf numFmtId="14" fontId="3" fillId="0" borderId="0" xfId="0" quotePrefix="1" applyNumberFormat="1" applyFont="1" applyAlignment="1">
      <alignment horizontal="left"/>
    </xf>
    <xf numFmtId="14" fontId="3" fillId="0" borderId="0" xfId="0" quotePrefix="1" applyNumberFormat="1" applyFont="1" applyAlignment="1">
      <alignment horizontal="centerContinuous"/>
    </xf>
    <xf numFmtId="0" fontId="3" fillId="0" borderId="1" xfId="0" applyFont="1" applyBorder="1"/>
    <xf numFmtId="0" fontId="3" fillId="0" borderId="2" xfId="0" applyFont="1" applyBorder="1"/>
    <xf numFmtId="0" fontId="3" fillId="0" borderId="2" xfId="0" quotePrefix="1" applyFont="1" applyBorder="1" applyAlignment="1">
      <alignment horizontal="left"/>
    </xf>
    <xf numFmtId="0" fontId="3" fillId="0" borderId="2" xfId="0" applyFont="1" applyBorder="1" applyAlignment="1">
      <alignment horizontal="left"/>
    </xf>
    <xf numFmtId="175" fontId="3" fillId="0" borderId="2" xfId="0" applyNumberFormat="1" applyFont="1" applyBorder="1" applyAlignment="1">
      <alignment horizontal="left"/>
    </xf>
    <xf numFmtId="0" fontId="3" fillId="0" borderId="20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3" fillId="0" borderId="3" xfId="0" applyFont="1" applyBorder="1"/>
    <xf numFmtId="0" fontId="3" fillId="0" borderId="4" xfId="0" applyFont="1" applyBorder="1" applyAlignment="1">
      <alignment horizontal="center"/>
    </xf>
    <xf numFmtId="0" fontId="3" fillId="0" borderId="4" xfId="0" applyFont="1" applyBorder="1"/>
    <xf numFmtId="175" fontId="3" fillId="0" borderId="4" xfId="0" applyNumberFormat="1" applyFont="1" applyBorder="1" applyAlignment="1">
      <alignment horizontal="right"/>
    </xf>
    <xf numFmtId="0" fontId="3" fillId="0" borderId="4" xfId="0" applyFont="1" applyBorder="1" applyAlignment="1">
      <alignment horizontal="left"/>
    </xf>
    <xf numFmtId="0" fontId="3" fillId="0" borderId="5" xfId="0" applyFont="1" applyBorder="1"/>
    <xf numFmtId="0" fontId="3" fillId="0" borderId="6" xfId="0" applyFont="1" applyBorder="1"/>
    <xf numFmtId="0" fontId="3" fillId="0" borderId="0" xfId="0" applyFont="1" applyAlignment="1">
      <alignment horizontal="center"/>
    </xf>
    <xf numFmtId="175" fontId="3" fillId="0" borderId="0" xfId="0" applyNumberFormat="1" applyFont="1" applyAlignment="1">
      <alignment horizontal="right"/>
    </xf>
    <xf numFmtId="0" fontId="3" fillId="0" borderId="7" xfId="0" applyFont="1" applyBorder="1"/>
    <xf numFmtId="2" fontId="1" fillId="10" borderId="0" xfId="0" applyNumberFormat="1" applyFont="1" applyFill="1"/>
    <xf numFmtId="179" fontId="3" fillId="9" borderId="6" xfId="0" applyNumberFormat="1" applyFont="1" applyFill="1" applyBorder="1" applyAlignment="1">
      <alignment horizontal="centerContinuous"/>
    </xf>
    <xf numFmtId="1" fontId="3" fillId="0" borderId="3" xfId="0" applyNumberFormat="1" applyFont="1" applyBorder="1"/>
    <xf numFmtId="175" fontId="3" fillId="9" borderId="7" xfId="0" applyNumberFormat="1" applyFont="1" applyFill="1" applyBorder="1"/>
    <xf numFmtId="0" fontId="3" fillId="9" borderId="7" xfId="0" applyFont="1" applyFill="1" applyBorder="1" applyAlignment="1">
      <alignment horizontal="centerContinuous"/>
    </xf>
    <xf numFmtId="1" fontId="3" fillId="0" borderId="6" xfId="0" applyNumberFormat="1" applyFont="1" applyBorder="1"/>
    <xf numFmtId="175" fontId="3" fillId="9" borderId="13" xfId="0" applyNumberFormat="1" applyFont="1" applyFill="1" applyBorder="1"/>
    <xf numFmtId="166" fontId="3" fillId="9" borderId="12" xfId="0" applyNumberFormat="1" applyFont="1" applyFill="1" applyBorder="1" applyAlignment="1">
      <alignment horizontal="center"/>
    </xf>
    <xf numFmtId="179" fontId="3" fillId="9" borderId="11" xfId="0" applyNumberFormat="1" applyFont="1" applyFill="1" applyBorder="1" applyAlignment="1">
      <alignment horizontal="centerContinuous"/>
    </xf>
    <xf numFmtId="0" fontId="3" fillId="9" borderId="13" xfId="0" applyFont="1" applyFill="1" applyBorder="1" applyAlignment="1">
      <alignment horizontal="centerContinuous"/>
    </xf>
    <xf numFmtId="1" fontId="3" fillId="0" borderId="11" xfId="0" applyNumberFormat="1" applyFont="1" applyBorder="1"/>
    <xf numFmtId="0" fontId="3" fillId="0" borderId="13" xfId="0" applyFont="1" applyBorder="1"/>
    <xf numFmtId="178" fontId="3" fillId="9" borderId="11" xfId="0" applyNumberFormat="1" applyFont="1" applyFill="1" applyBorder="1" applyAlignment="1">
      <alignment horizontal="center"/>
    </xf>
    <xf numFmtId="166" fontId="3" fillId="5" borderId="11" xfId="0" applyNumberFormat="1" applyFont="1" applyFill="1" applyBorder="1" applyAlignment="1">
      <alignment horizontal="center"/>
    </xf>
    <xf numFmtId="0" fontId="1" fillId="5" borderId="0" xfId="0" applyFont="1" applyFill="1"/>
    <xf numFmtId="0" fontId="3" fillId="0" borderId="9" xfId="0" applyFont="1" applyBorder="1"/>
    <xf numFmtId="176" fontId="3" fillId="0" borderId="6" xfId="0" applyNumberFormat="1" applyFont="1" applyBorder="1" applyAlignment="1">
      <alignment horizontal="center"/>
    </xf>
    <xf numFmtId="176" fontId="3" fillId="0" borderId="0" xfId="0" applyNumberFormat="1" applyFont="1" applyAlignment="1">
      <alignment horizontal="center"/>
    </xf>
    <xf numFmtId="175" fontId="3" fillId="0" borderId="7" xfId="0" applyNumberFormat="1" applyFont="1" applyBorder="1"/>
    <xf numFmtId="166" fontId="3" fillId="0" borderId="6" xfId="0" applyNumberFormat="1" applyFont="1" applyBorder="1" applyAlignment="1">
      <alignment horizontal="center"/>
    </xf>
    <xf numFmtId="166" fontId="3" fillId="0" borderId="0" xfId="0" applyNumberFormat="1" applyFont="1" applyAlignment="1">
      <alignment horizontal="center"/>
    </xf>
    <xf numFmtId="179" fontId="3" fillId="0" borderId="6" xfId="0" applyNumberFormat="1" applyFont="1" applyBorder="1" applyAlignment="1">
      <alignment horizontal="centerContinuous"/>
    </xf>
    <xf numFmtId="0" fontId="3" fillId="0" borderId="7" xfId="0" applyFont="1" applyBorder="1" applyAlignment="1">
      <alignment horizontal="centerContinuous"/>
    </xf>
    <xf numFmtId="176" fontId="3" fillId="0" borderId="7" xfId="0" applyNumberFormat="1" applyFont="1" applyBorder="1" applyAlignment="1">
      <alignment horizontal="center"/>
    </xf>
    <xf numFmtId="0" fontId="3" fillId="0" borderId="10" xfId="0" applyFont="1" applyBorder="1"/>
    <xf numFmtId="176" fontId="3" fillId="0" borderId="11" xfId="0" applyNumberFormat="1" applyFont="1" applyBorder="1" applyAlignment="1">
      <alignment horizontal="center"/>
    </xf>
    <xf numFmtId="176" fontId="3" fillId="0" borderId="12" xfId="0" applyNumberFormat="1" applyFont="1" applyBorder="1" applyAlignment="1">
      <alignment horizontal="center"/>
    </xf>
    <xf numFmtId="176" fontId="3" fillId="0" borderId="13" xfId="0" applyNumberFormat="1" applyFont="1" applyBorder="1" applyAlignment="1">
      <alignment horizontal="center"/>
    </xf>
    <xf numFmtId="166" fontId="3" fillId="0" borderId="11" xfId="0" applyNumberFormat="1" applyFont="1" applyBorder="1" applyAlignment="1">
      <alignment horizontal="center"/>
    </xf>
    <xf numFmtId="166" fontId="3" fillId="0" borderId="12" xfId="0" applyNumberFormat="1" applyFont="1" applyBorder="1" applyAlignment="1">
      <alignment horizontal="center"/>
    </xf>
    <xf numFmtId="179" fontId="3" fillId="0" borderId="11" xfId="0" applyNumberFormat="1" applyFont="1" applyBorder="1" applyAlignment="1">
      <alignment horizontal="centerContinuous"/>
    </xf>
    <xf numFmtId="0" fontId="3" fillId="0" borderId="13" xfId="0" applyFont="1" applyBorder="1" applyAlignment="1">
      <alignment horizontal="centerContinuous"/>
    </xf>
    <xf numFmtId="175" fontId="3" fillId="0" borderId="13" xfId="0" applyNumberFormat="1" applyFont="1" applyBorder="1"/>
    <xf numFmtId="166" fontId="3" fillId="5" borderId="0" xfId="0" quotePrefix="1" applyNumberFormat="1" applyFont="1" applyFill="1" applyAlignment="1">
      <alignment horizontal="center"/>
    </xf>
    <xf numFmtId="166" fontId="1" fillId="5" borderId="12" xfId="0" applyNumberFormat="1" applyFont="1" applyFill="1" applyBorder="1" applyAlignment="1">
      <alignment horizontal="center"/>
    </xf>
    <xf numFmtId="166" fontId="3" fillId="0" borderId="3" xfId="0" applyNumberFormat="1" applyFont="1" applyBorder="1" applyAlignment="1">
      <alignment horizontal="center"/>
    </xf>
    <xf numFmtId="166" fontId="3" fillId="0" borderId="4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Continuous"/>
    </xf>
    <xf numFmtId="184" fontId="3" fillId="0" borderId="11" xfId="0" applyNumberFormat="1" applyFont="1" applyBorder="1" applyAlignment="1">
      <alignment horizontal="center"/>
    </xf>
    <xf numFmtId="184" fontId="3" fillId="0" borderId="12" xfId="0" applyNumberFormat="1" applyFont="1" applyBorder="1" applyAlignment="1">
      <alignment horizontal="center"/>
    </xf>
    <xf numFmtId="179" fontId="3" fillId="0" borderId="12" xfId="0" applyNumberFormat="1" applyFont="1" applyBorder="1" applyAlignment="1">
      <alignment horizontal="centerContinuous"/>
    </xf>
    <xf numFmtId="166" fontId="3" fillId="5" borderId="12" xfId="0" quotePrefix="1" applyNumberFormat="1" applyFont="1" applyFill="1" applyBorder="1" applyAlignment="1">
      <alignment horizontal="center"/>
    </xf>
    <xf numFmtId="0" fontId="3" fillId="0" borderId="15" xfId="0" applyFont="1" applyBorder="1"/>
    <xf numFmtId="0" fontId="3" fillId="0" borderId="17" xfId="0" applyFont="1" applyBorder="1"/>
    <xf numFmtId="0" fontId="3" fillId="0" borderId="16" xfId="0" applyFont="1" applyBorder="1" applyAlignment="1">
      <alignment horizontal="left"/>
    </xf>
    <xf numFmtId="0" fontId="1" fillId="0" borderId="0" xfId="0" applyFont="1"/>
    <xf numFmtId="0" fontId="21" fillId="0" borderId="23" xfId="0" applyFont="1" applyBorder="1" applyProtection="1">
      <protection hidden="1"/>
    </xf>
    <xf numFmtId="0" fontId="2" fillId="2" borderId="2" xfId="2" applyFont="1" applyFill="1" applyBorder="1" applyAlignment="1">
      <alignment horizontal="centerContinuous"/>
    </xf>
    <xf numFmtId="0" fontId="2" fillId="2" borderId="20" xfId="2" applyFont="1" applyFill="1" applyBorder="1" applyAlignment="1">
      <alignment horizontal="centerContinuous"/>
    </xf>
    <xf numFmtId="0" fontId="1" fillId="2" borderId="8" xfId="2" applyFont="1" applyFill="1" applyBorder="1"/>
    <xf numFmtId="170" fontId="3" fillId="2" borderId="14" xfId="2" applyNumberFormat="1" applyFill="1" applyBorder="1" applyAlignment="1">
      <alignment horizontal="right"/>
    </xf>
    <xf numFmtId="170" fontId="1" fillId="2" borderId="14" xfId="2" applyNumberFormat="1" applyFont="1" applyFill="1" applyBorder="1" applyAlignment="1">
      <alignment horizontal="right"/>
    </xf>
    <xf numFmtId="170" fontId="12" fillId="2" borderId="18" xfId="2" applyNumberFormat="1" applyFont="1" applyFill="1" applyBorder="1" applyAlignment="1">
      <alignment horizontal="center"/>
    </xf>
    <xf numFmtId="0" fontId="1" fillId="2" borderId="9" xfId="2" applyFont="1" applyFill="1" applyBorder="1"/>
    <xf numFmtId="170" fontId="3" fillId="3" borderId="9" xfId="2" applyNumberFormat="1" applyFill="1" applyBorder="1" applyAlignment="1">
      <alignment horizontal="right"/>
    </xf>
    <xf numFmtId="0" fontId="3" fillId="2" borderId="9" xfId="2" applyFill="1" applyBorder="1"/>
    <xf numFmtId="2" fontId="3" fillId="0" borderId="9" xfId="2" applyNumberFormat="1" applyBorder="1" applyAlignment="1">
      <alignment horizontal="right"/>
    </xf>
    <xf numFmtId="177" fontId="3" fillId="0" borderId="9" xfId="2" applyNumberFormat="1" applyBorder="1" applyAlignment="1">
      <alignment horizontal="right"/>
    </xf>
    <xf numFmtId="0" fontId="3" fillId="2" borderId="18" xfId="2" applyFill="1" applyBorder="1"/>
    <xf numFmtId="2" fontId="3" fillId="0" borderId="18" xfId="2" applyNumberFormat="1" applyBorder="1" applyAlignment="1">
      <alignment horizontal="right"/>
    </xf>
    <xf numFmtId="177" fontId="3" fillId="0" borderId="18" xfId="2" applyNumberFormat="1" applyBorder="1" applyAlignment="1">
      <alignment horizontal="right"/>
    </xf>
    <xf numFmtId="2" fontId="3" fillId="0" borderId="8" xfId="2" applyNumberFormat="1" applyBorder="1" applyAlignment="1">
      <alignment horizontal="right"/>
    </xf>
    <xf numFmtId="170" fontId="3" fillId="0" borderId="8" xfId="2" applyNumberFormat="1" applyBorder="1" applyAlignment="1">
      <alignment horizontal="right"/>
    </xf>
    <xf numFmtId="170" fontId="3" fillId="0" borderId="9" xfId="2" applyNumberFormat="1" applyBorder="1" applyAlignment="1">
      <alignment horizontal="right"/>
    </xf>
    <xf numFmtId="0" fontId="1" fillId="2" borderId="8" xfId="2" quotePrefix="1" applyFont="1" applyFill="1" applyBorder="1" applyAlignment="1">
      <alignment horizontal="left"/>
    </xf>
    <xf numFmtId="0" fontId="3" fillId="2" borderId="9" xfId="2" quotePrefix="1" applyFill="1" applyBorder="1" applyAlignment="1">
      <alignment horizontal="left"/>
    </xf>
    <xf numFmtId="170" fontId="3" fillId="0" borderId="18" xfId="2" applyNumberFormat="1" applyBorder="1" applyAlignment="1">
      <alignment horizontal="right"/>
    </xf>
    <xf numFmtId="180" fontId="3" fillId="0" borderId="0" xfId="0" quotePrefix="1" applyNumberFormat="1" applyFont="1" applyAlignment="1">
      <alignment horizontal="centerContinuous"/>
    </xf>
    <xf numFmtId="0" fontId="3" fillId="0" borderId="20" xfId="0" applyFont="1" applyBorder="1"/>
    <xf numFmtId="2" fontId="1" fillId="0" borderId="14" xfId="0" quotePrefix="1" applyNumberFormat="1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3" fillId="2" borderId="3" xfId="0" applyFont="1" applyFill="1" applyBorder="1" applyAlignment="1">
      <alignment horizontal="left"/>
    </xf>
    <xf numFmtId="0" fontId="1" fillId="0" borderId="14" xfId="0" quotePrefix="1" applyFont="1" applyBorder="1" applyAlignment="1">
      <alignment horizontal="left"/>
    </xf>
    <xf numFmtId="0" fontId="1" fillId="0" borderId="1" xfId="0" quotePrefix="1" applyFont="1" applyBorder="1" applyAlignment="1">
      <alignment horizontal="left"/>
    </xf>
    <xf numFmtId="0" fontId="1" fillId="0" borderId="2" xfId="0" applyFont="1" applyBorder="1"/>
    <xf numFmtId="0" fontId="3" fillId="2" borderId="15" xfId="0" applyFont="1" applyFill="1" applyBorder="1"/>
    <xf numFmtId="0" fontId="1" fillId="0" borderId="0" xfId="0" applyFont="1" applyAlignment="1">
      <alignment horizontal="left"/>
    </xf>
    <xf numFmtId="1" fontId="1" fillId="0" borderId="0" xfId="0" applyNumberFormat="1" applyFont="1"/>
    <xf numFmtId="1" fontId="1" fillId="0" borderId="2" xfId="0" applyNumberFormat="1" applyFont="1" applyBorder="1"/>
    <xf numFmtId="0" fontId="1" fillId="0" borderId="18" xfId="0" quotePrefix="1" applyFont="1" applyBorder="1" applyAlignment="1">
      <alignment horizontal="left"/>
    </xf>
    <xf numFmtId="0" fontId="1" fillId="0" borderId="16" xfId="0" quotePrefix="1" applyFont="1" applyBorder="1" applyAlignment="1">
      <alignment horizontal="left"/>
    </xf>
    <xf numFmtId="0" fontId="1" fillId="0" borderId="16" xfId="0" applyFont="1" applyBorder="1" applyAlignment="1">
      <alignment horizontal="left"/>
    </xf>
    <xf numFmtId="0" fontId="3" fillId="0" borderId="17" xfId="0" applyFont="1" applyBorder="1" applyAlignment="1">
      <alignment horizontal="left"/>
    </xf>
    <xf numFmtId="0" fontId="1" fillId="3" borderId="0" xfId="0" quotePrefix="1" applyFont="1" applyFill="1" applyAlignment="1">
      <alignment horizontal="left"/>
    </xf>
    <xf numFmtId="0" fontId="1" fillId="3" borderId="0" xfId="0" applyFont="1" applyFill="1" applyAlignment="1">
      <alignment horizontal="left"/>
    </xf>
    <xf numFmtId="0" fontId="3" fillId="3" borderId="0" xfId="0" applyFont="1" applyFill="1" applyAlignment="1">
      <alignment horizontal="left"/>
    </xf>
    <xf numFmtId="0" fontId="3" fillId="3" borderId="0" xfId="0" applyFont="1" applyFill="1"/>
    <xf numFmtId="0" fontId="13" fillId="3" borderId="0" xfId="0" quotePrefix="1" applyFont="1" applyFill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16" xfId="0" applyFont="1" applyBorder="1"/>
    <xf numFmtId="0" fontId="1" fillId="3" borderId="14" xfId="0" applyFont="1" applyFill="1" applyBorder="1" applyAlignment="1">
      <alignment horizontal="left"/>
    </xf>
    <xf numFmtId="0" fontId="1" fillId="3" borderId="1" xfId="0" quotePrefix="1" applyFont="1" applyFill="1" applyBorder="1" applyAlignment="1">
      <alignment horizontal="left"/>
    </xf>
    <xf numFmtId="0" fontId="3" fillId="3" borderId="2" xfId="0" applyFont="1" applyFill="1" applyBorder="1"/>
    <xf numFmtId="0" fontId="1" fillId="2" borderId="15" xfId="0" quotePrefix="1" applyFont="1" applyFill="1" applyBorder="1" applyAlignment="1">
      <alignment horizontal="left"/>
    </xf>
    <xf numFmtId="0" fontId="3" fillId="2" borderId="16" xfId="0" applyFont="1" applyFill="1" applyBorder="1"/>
    <xf numFmtId="2" fontId="1" fillId="2" borderId="16" xfId="0" applyNumberFormat="1" applyFont="1" applyFill="1" applyBorder="1" applyAlignment="1">
      <alignment horizontal="right"/>
    </xf>
    <xf numFmtId="0" fontId="3" fillId="2" borderId="17" xfId="0" applyFont="1" applyFill="1" applyBorder="1" applyAlignment="1">
      <alignment horizontal="center"/>
    </xf>
    <xf numFmtId="1" fontId="1" fillId="2" borderId="14" xfId="0" applyNumberFormat="1" applyFont="1" applyFill="1" applyBorder="1" applyAlignment="1">
      <alignment horizontal="center"/>
    </xf>
    <xf numFmtId="2" fontId="1" fillId="3" borderId="0" xfId="0" applyNumberFormat="1" applyFont="1" applyFill="1" applyAlignment="1">
      <alignment horizontal="right"/>
    </xf>
    <xf numFmtId="0" fontId="3" fillId="3" borderId="0" xfId="0" applyFont="1" applyFill="1" applyAlignment="1">
      <alignment horizontal="center"/>
    </xf>
    <xf numFmtId="1" fontId="1" fillId="3" borderId="0" xfId="0" applyNumberFormat="1" applyFont="1" applyFill="1" applyAlignment="1">
      <alignment horizontal="center"/>
    </xf>
    <xf numFmtId="0" fontId="13" fillId="2" borderId="0" xfId="0" applyFont="1" applyFill="1" applyAlignment="1">
      <alignment horizontal="center"/>
    </xf>
    <xf numFmtId="0" fontId="13" fillId="2" borderId="7" xfId="0" applyFont="1" applyFill="1" applyBorder="1" applyAlignment="1">
      <alignment horizontal="center"/>
    </xf>
    <xf numFmtId="0" fontId="13" fillId="2" borderId="17" xfId="0" applyFont="1" applyFill="1" applyBorder="1" applyAlignment="1">
      <alignment horizontal="center"/>
    </xf>
    <xf numFmtId="0" fontId="14" fillId="2" borderId="15" xfId="0" applyFont="1" applyFill="1" applyBorder="1" applyAlignment="1">
      <alignment horizontal="center"/>
    </xf>
    <xf numFmtId="1" fontId="10" fillId="2" borderId="7" xfId="0" applyNumberFormat="1" applyFont="1" applyFill="1" applyBorder="1" applyAlignment="1">
      <alignment horizontal="center"/>
    </xf>
    <xf numFmtId="1" fontId="10" fillId="2" borderId="9" xfId="0" applyNumberFormat="1" applyFont="1" applyFill="1" applyBorder="1" applyAlignment="1">
      <alignment horizontal="center"/>
    </xf>
    <xf numFmtId="171" fontId="12" fillId="2" borderId="16" xfId="0" applyNumberFormat="1" applyFont="1" applyFill="1" applyBorder="1" applyAlignment="1" applyProtection="1">
      <alignment horizontal="center"/>
      <protection locked="0"/>
    </xf>
    <xf numFmtId="171" fontId="12" fillId="2" borderId="17" xfId="0" applyNumberFormat="1" applyFont="1" applyFill="1" applyBorder="1" applyAlignment="1" applyProtection="1">
      <alignment horizontal="center"/>
      <protection locked="0"/>
    </xf>
    <xf numFmtId="0" fontId="3" fillId="0" borderId="0" xfId="1"/>
    <xf numFmtId="0" fontId="3" fillId="2" borderId="1" xfId="1" applyFill="1" applyBorder="1"/>
    <xf numFmtId="0" fontId="2" fillId="2" borderId="2" xfId="1" applyFont="1" applyFill="1" applyBorder="1"/>
    <xf numFmtId="0" fontId="1" fillId="2" borderId="1" xfId="1" applyFont="1" applyFill="1" applyBorder="1" applyAlignment="1">
      <alignment horizontal="center"/>
    </xf>
    <xf numFmtId="0" fontId="1" fillId="2" borderId="14" xfId="1" applyFont="1" applyFill="1" applyBorder="1" applyAlignment="1">
      <alignment horizontal="center"/>
    </xf>
    <xf numFmtId="0" fontId="1" fillId="2" borderId="17" xfId="1" applyFont="1" applyFill="1" applyBorder="1" applyAlignment="1">
      <alignment horizontal="center"/>
    </xf>
    <xf numFmtId="0" fontId="3" fillId="2" borderId="3" xfId="1" applyFill="1" applyBorder="1" applyAlignment="1">
      <alignment horizontal="center"/>
    </xf>
    <xf numFmtId="0" fontId="3" fillId="2" borderId="3" xfId="1" applyFill="1" applyBorder="1" applyAlignment="1">
      <alignment horizontal="left"/>
    </xf>
    <xf numFmtId="169" fontId="3" fillId="2" borderId="3" xfId="1" applyNumberFormat="1" applyFill="1" applyBorder="1"/>
    <xf numFmtId="169" fontId="3" fillId="2" borderId="8" xfId="1" applyNumberFormat="1" applyFill="1" applyBorder="1"/>
    <xf numFmtId="0" fontId="1" fillId="2" borderId="8" xfId="1" applyFont="1" applyFill="1" applyBorder="1"/>
    <xf numFmtId="2" fontId="1" fillId="2" borderId="5" xfId="1" applyNumberFormat="1" applyFont="1" applyFill="1" applyBorder="1"/>
    <xf numFmtId="0" fontId="3" fillId="2" borderId="6" xfId="1" applyFill="1" applyBorder="1" applyAlignment="1">
      <alignment horizontal="center"/>
    </xf>
    <xf numFmtId="0" fontId="3" fillId="2" borderId="6" xfId="1" applyFill="1" applyBorder="1" applyAlignment="1">
      <alignment horizontal="left"/>
    </xf>
    <xf numFmtId="169" fontId="3" fillId="2" borderId="6" xfId="1" applyNumberFormat="1" applyFill="1" applyBorder="1"/>
    <xf numFmtId="169" fontId="3" fillId="2" borderId="9" xfId="1" applyNumberFormat="1" applyFill="1" applyBorder="1"/>
    <xf numFmtId="0" fontId="1" fillId="2" borderId="9" xfId="1" applyFont="1" applyFill="1" applyBorder="1"/>
    <xf numFmtId="2" fontId="1" fillId="2" borderId="7" xfId="1" applyNumberFormat="1" applyFont="1" applyFill="1" applyBorder="1"/>
    <xf numFmtId="0" fontId="3" fillId="2" borderId="6" xfId="1" quotePrefix="1" applyFill="1" applyBorder="1" applyAlignment="1">
      <alignment horizontal="left"/>
    </xf>
    <xf numFmtId="0" fontId="1" fillId="2" borderId="18" xfId="1" applyFont="1" applyFill="1" applyBorder="1"/>
    <xf numFmtId="2" fontId="1" fillId="2" borderId="18" xfId="1" applyNumberFormat="1" applyFont="1" applyFill="1" applyBorder="1"/>
    <xf numFmtId="0" fontId="3" fillId="2" borderId="15" xfId="1" applyFill="1" applyBorder="1" applyAlignment="1">
      <alignment horizontal="center"/>
    </xf>
    <xf numFmtId="0" fontId="3" fillId="2" borderId="15" xfId="1" applyFill="1" applyBorder="1" applyAlignment="1">
      <alignment horizontal="left"/>
    </xf>
    <xf numFmtId="169" fontId="3" fillId="2" borderId="15" xfId="1" applyNumberFormat="1" applyFill="1" applyBorder="1"/>
    <xf numFmtId="169" fontId="3" fillId="2" borderId="18" xfId="1" applyNumberFormat="1" applyFill="1" applyBorder="1"/>
    <xf numFmtId="180" fontId="3" fillId="0" borderId="0" xfId="0" quotePrefix="1" applyNumberFormat="1" applyFont="1" applyAlignment="1">
      <alignment horizontal="center"/>
    </xf>
    <xf numFmtId="2" fontId="3" fillId="0" borderId="3" xfId="0" quotePrefix="1" applyNumberFormat="1" applyFont="1" applyBorder="1" applyAlignment="1">
      <alignment horizontal="left"/>
    </xf>
    <xf numFmtId="0" fontId="3" fillId="0" borderId="8" xfId="0" applyFont="1" applyBorder="1" applyAlignment="1">
      <alignment horizontal="center"/>
    </xf>
    <xf numFmtId="2" fontId="3" fillId="0" borderId="5" xfId="0" applyNumberFormat="1" applyFont="1" applyBorder="1"/>
    <xf numFmtId="2" fontId="3" fillId="0" borderId="6" xfId="0" quotePrefix="1" applyNumberFormat="1" applyFont="1" applyBorder="1" applyAlignment="1">
      <alignment horizontal="left"/>
    </xf>
    <xf numFmtId="0" fontId="3" fillId="0" borderId="9" xfId="0" applyFont="1" applyBorder="1" applyAlignment="1">
      <alignment horizontal="center"/>
    </xf>
    <xf numFmtId="2" fontId="3" fillId="0" borderId="7" xfId="0" applyNumberFormat="1" applyFont="1" applyBorder="1"/>
    <xf numFmtId="2" fontId="3" fillId="0" borderId="6" xfId="0" applyNumberFormat="1" applyFont="1" applyBorder="1"/>
    <xf numFmtId="0" fontId="3" fillId="0" borderId="18" xfId="0" applyFont="1" applyBorder="1" applyAlignment="1">
      <alignment horizontal="center"/>
    </xf>
    <xf numFmtId="2" fontId="3" fillId="0" borderId="17" xfId="0" applyNumberFormat="1" applyFont="1" applyBorder="1"/>
    <xf numFmtId="2" fontId="3" fillId="0" borderId="3" xfId="0" applyNumberFormat="1" applyFont="1" applyBorder="1" applyAlignment="1">
      <alignment horizontal="left"/>
    </xf>
    <xf numFmtId="0" fontId="3" fillId="0" borderId="15" xfId="0" quotePrefix="1" applyFont="1" applyBorder="1" applyAlignment="1">
      <alignment horizontal="left"/>
    </xf>
    <xf numFmtId="2" fontId="3" fillId="0" borderId="15" xfId="0" quotePrefix="1" applyNumberFormat="1" applyFont="1" applyBorder="1" applyAlignment="1">
      <alignment horizontal="left"/>
    </xf>
    <xf numFmtId="0" fontId="3" fillId="4" borderId="4" xfId="0" applyFont="1" applyFill="1" applyBorder="1" applyAlignment="1" applyProtection="1">
      <alignment horizontal="centerContinuous" wrapText="1"/>
      <protection hidden="1"/>
    </xf>
    <xf numFmtId="0" fontId="3" fillId="4" borderId="5" xfId="0" applyFont="1" applyFill="1" applyBorder="1" applyAlignment="1" applyProtection="1">
      <alignment horizontal="centerContinuous" wrapText="1"/>
      <protection hidden="1"/>
    </xf>
    <xf numFmtId="0" fontId="30" fillId="12" borderId="0" xfId="0" applyFont="1" applyFill="1"/>
    <xf numFmtId="0" fontId="30" fillId="0" borderId="0" xfId="0" applyFont="1"/>
    <xf numFmtId="1" fontId="30" fillId="0" borderId="6" xfId="0" applyNumberFormat="1" applyFont="1" applyBorder="1"/>
    <xf numFmtId="0" fontId="31" fillId="12" borderId="0" xfId="0" applyFont="1" applyFill="1"/>
    <xf numFmtId="0" fontId="31" fillId="0" borderId="0" xfId="0" applyFont="1"/>
    <xf numFmtId="9" fontId="33" fillId="0" borderId="8" xfId="4" applyFont="1" applyFill="1" applyBorder="1" applyAlignment="1" applyProtection="1">
      <alignment horizontal="right"/>
      <protection locked="0"/>
    </xf>
    <xf numFmtId="0" fontId="36" fillId="0" borderId="8" xfId="0" applyFont="1" applyBorder="1" applyProtection="1">
      <protection locked="0"/>
    </xf>
    <xf numFmtId="176" fontId="33" fillId="0" borderId="3" xfId="0" applyNumberFormat="1" applyFont="1" applyBorder="1" applyAlignment="1" applyProtection="1">
      <alignment horizontal="center"/>
      <protection locked="0"/>
    </xf>
    <xf numFmtId="176" fontId="33" fillId="0" borderId="4" xfId="0" applyNumberFormat="1" applyFont="1" applyBorder="1" applyAlignment="1" applyProtection="1">
      <alignment horizontal="center"/>
      <protection locked="0"/>
    </xf>
    <xf numFmtId="175" fontId="30" fillId="0" borderId="5" xfId="0" applyNumberFormat="1" applyFont="1" applyBorder="1" applyProtection="1">
      <protection locked="0"/>
    </xf>
    <xf numFmtId="183" fontId="34" fillId="0" borderId="4" xfId="0" applyNumberFormat="1" applyFont="1" applyBorder="1" applyAlignment="1" applyProtection="1">
      <alignment horizontal="right"/>
      <protection locked="0"/>
    </xf>
    <xf numFmtId="1" fontId="30" fillId="0" borderId="3" xfId="0" applyNumberFormat="1" applyFont="1" applyBorder="1" applyAlignment="1">
      <alignment horizontal="right"/>
    </xf>
    <xf numFmtId="9" fontId="33" fillId="0" borderId="9" xfId="4" applyFont="1" applyFill="1" applyBorder="1" applyProtection="1">
      <protection locked="0"/>
    </xf>
    <xf numFmtId="0" fontId="36" fillId="0" borderId="9" xfId="0" applyFont="1" applyBorder="1" applyProtection="1">
      <protection locked="0"/>
    </xf>
    <xf numFmtId="176" fontId="33" fillId="0" borderId="6" xfId="0" applyNumberFormat="1" applyFont="1" applyBorder="1" applyAlignment="1" applyProtection="1">
      <alignment horizontal="center"/>
      <protection locked="0"/>
    </xf>
    <xf numFmtId="176" fontId="33" fillId="0" borderId="0" xfId="0" applyNumberFormat="1" applyFont="1" applyAlignment="1" applyProtection="1">
      <alignment horizontal="center"/>
      <protection locked="0"/>
    </xf>
    <xf numFmtId="175" fontId="30" fillId="0" borderId="7" xfId="0" applyNumberFormat="1" applyFont="1" applyBorder="1" applyProtection="1">
      <protection locked="0"/>
    </xf>
    <xf numFmtId="183" fontId="34" fillId="0" borderId="0" xfId="0" applyNumberFormat="1" applyFont="1" applyAlignment="1" applyProtection="1">
      <alignment horizontal="right"/>
      <protection locked="0"/>
    </xf>
    <xf numFmtId="1" fontId="30" fillId="0" borderId="6" xfId="4" applyNumberFormat="1" applyFont="1" applyBorder="1"/>
    <xf numFmtId="9" fontId="33" fillId="0" borderId="9" xfId="4" applyFont="1" applyFill="1" applyBorder="1" applyAlignment="1" applyProtection="1">
      <alignment horizontal="right"/>
      <protection locked="0"/>
    </xf>
    <xf numFmtId="9" fontId="36" fillId="0" borderId="9" xfId="4" applyFont="1" applyFill="1" applyBorder="1" applyAlignment="1" applyProtection="1">
      <alignment horizontal="right"/>
      <protection locked="0"/>
    </xf>
    <xf numFmtId="176" fontId="33" fillId="0" borderId="0" xfId="0" applyNumberFormat="1" applyFont="1" applyAlignment="1" applyProtection="1">
      <alignment horizontal="center" wrapText="1"/>
      <protection locked="0"/>
    </xf>
    <xf numFmtId="9" fontId="36" fillId="0" borderId="18" xfId="4" applyFont="1" applyFill="1" applyBorder="1" applyProtection="1">
      <protection locked="0"/>
    </xf>
    <xf numFmtId="0" fontId="36" fillId="0" borderId="18" xfId="0" applyFont="1" applyBorder="1" applyProtection="1">
      <protection locked="0"/>
    </xf>
    <xf numFmtId="176" fontId="33" fillId="0" borderId="15" xfId="0" applyNumberFormat="1" applyFont="1" applyBorder="1" applyAlignment="1" applyProtection="1">
      <alignment horizontal="center"/>
      <protection locked="0"/>
    </xf>
    <xf numFmtId="176" fontId="33" fillId="0" borderId="16" xfId="0" applyNumberFormat="1" applyFont="1" applyBorder="1" applyAlignment="1" applyProtection="1">
      <alignment horizontal="center"/>
      <protection locked="0"/>
    </xf>
    <xf numFmtId="175" fontId="30" fillId="0" borderId="17" xfId="0" applyNumberFormat="1" applyFont="1" applyBorder="1" applyProtection="1">
      <protection locked="0"/>
    </xf>
    <xf numFmtId="183" fontId="34" fillId="0" borderId="16" xfId="0" applyNumberFormat="1" applyFont="1" applyBorder="1" applyAlignment="1" applyProtection="1">
      <alignment horizontal="right"/>
      <protection locked="0"/>
    </xf>
    <xf numFmtId="1" fontId="30" fillId="0" borderId="15" xfId="0" applyNumberFormat="1" applyFont="1" applyBorder="1"/>
    <xf numFmtId="0" fontId="30" fillId="0" borderId="0" xfId="0" applyFont="1" applyAlignment="1">
      <alignment horizontal="center"/>
    </xf>
    <xf numFmtId="175" fontId="30" fillId="0" borderId="0" xfId="0" applyNumberFormat="1" applyFont="1" applyAlignment="1">
      <alignment horizontal="right"/>
    </xf>
    <xf numFmtId="0" fontId="30" fillId="0" borderId="0" xfId="0" applyFont="1" applyAlignment="1">
      <alignment horizontal="left"/>
    </xf>
    <xf numFmtId="0" fontId="30" fillId="12" borderId="0" xfId="0" applyFont="1" applyFill="1" applyAlignment="1">
      <alignment horizontal="center"/>
    </xf>
    <xf numFmtId="175" fontId="30" fillId="12" borderId="0" xfId="0" applyNumberFormat="1" applyFont="1" applyFill="1" applyAlignment="1">
      <alignment horizontal="right"/>
    </xf>
    <xf numFmtId="0" fontId="30" fillId="12" borderId="0" xfId="0" applyFont="1" applyFill="1" applyAlignment="1">
      <alignment horizontal="left"/>
    </xf>
    <xf numFmtId="0" fontId="30" fillId="12" borderId="0" xfId="0" quotePrefix="1" applyFont="1" applyFill="1" applyAlignment="1">
      <alignment horizontal="left"/>
    </xf>
    <xf numFmtId="0" fontId="37" fillId="12" borderId="0" xfId="0" applyFont="1" applyFill="1" applyAlignment="1">
      <alignment horizontal="left"/>
    </xf>
    <xf numFmtId="14" fontId="30" fillId="12" borderId="0" xfId="0" applyNumberFormat="1" applyFont="1" applyFill="1"/>
    <xf numFmtId="0" fontId="31" fillId="12" borderId="0" xfId="2" applyFont="1" applyFill="1" applyAlignment="1">
      <alignment horizontal="center"/>
    </xf>
    <xf numFmtId="0" fontId="38" fillId="12" borderId="0" xfId="2" applyFont="1" applyFill="1" applyAlignment="1">
      <alignment horizontal="center"/>
    </xf>
    <xf numFmtId="0" fontId="31" fillId="12" borderId="0" xfId="2" applyFont="1" applyFill="1" applyAlignment="1">
      <alignment horizontal="centerContinuous"/>
    </xf>
    <xf numFmtId="0" fontId="39" fillId="12" borderId="0" xfId="2" applyFont="1" applyFill="1" applyAlignment="1">
      <alignment horizontal="centerContinuous"/>
    </xf>
    <xf numFmtId="14" fontId="30" fillId="12" borderId="0" xfId="2" applyNumberFormat="1" applyFont="1" applyFill="1"/>
    <xf numFmtId="14" fontId="40" fillId="12" borderId="0" xfId="0" applyNumberFormat="1" applyFont="1" applyFill="1" applyAlignment="1">
      <alignment horizontal="center"/>
    </xf>
    <xf numFmtId="0" fontId="31" fillId="12" borderId="0" xfId="2" applyFont="1" applyFill="1"/>
    <xf numFmtId="0" fontId="32" fillId="12" borderId="0" xfId="2" applyFont="1" applyFill="1" applyAlignment="1">
      <alignment horizontal="center"/>
    </xf>
    <xf numFmtId="0" fontId="30" fillId="12" borderId="0" xfId="2" applyFont="1" applyFill="1" applyAlignment="1">
      <alignment horizontal="center"/>
    </xf>
    <xf numFmtId="170" fontId="30" fillId="12" borderId="0" xfId="2" applyNumberFormat="1" applyFont="1" applyFill="1" applyAlignment="1">
      <alignment horizontal="right"/>
    </xf>
    <xf numFmtId="170" fontId="31" fillId="12" borderId="0" xfId="2" applyNumberFormat="1" applyFont="1" applyFill="1" applyAlignment="1">
      <alignment horizontal="right"/>
    </xf>
    <xf numFmtId="0" fontId="30" fillId="12" borderId="0" xfId="2" applyFont="1" applyFill="1" applyAlignment="1">
      <alignment horizontal="right"/>
    </xf>
    <xf numFmtId="0" fontId="30" fillId="12" borderId="0" xfId="2" applyFont="1" applyFill="1"/>
    <xf numFmtId="2" fontId="30" fillId="12" borderId="0" xfId="2" applyNumberFormat="1" applyFont="1" applyFill="1" applyAlignment="1">
      <alignment horizontal="right"/>
    </xf>
    <xf numFmtId="0" fontId="38" fillId="12" borderId="0" xfId="2" applyFont="1" applyFill="1" applyAlignment="1">
      <alignment horizontal="centerContinuous"/>
    </xf>
    <xf numFmtId="0" fontId="32" fillId="12" borderId="0" xfId="2" quotePrefix="1" applyFont="1" applyFill="1" applyAlignment="1">
      <alignment horizontal="center"/>
    </xf>
    <xf numFmtId="0" fontId="31" fillId="12" borderId="0" xfId="2" quotePrefix="1" applyFont="1" applyFill="1" applyAlignment="1">
      <alignment horizontal="left"/>
    </xf>
    <xf numFmtId="0" fontId="30" fillId="12" borderId="0" xfId="2" quotePrefix="1" applyFont="1" applyFill="1" applyAlignment="1">
      <alignment horizontal="left"/>
    </xf>
    <xf numFmtId="0" fontId="41" fillId="12" borderId="0" xfId="0" quotePrefix="1" applyFont="1" applyFill="1" applyAlignment="1">
      <alignment horizontal="left"/>
    </xf>
    <xf numFmtId="0" fontId="47" fillId="0" borderId="4" xfId="0" applyFont="1" applyBorder="1"/>
    <xf numFmtId="0" fontId="47" fillId="0" borderId="16" xfId="0" applyFont="1" applyBorder="1"/>
    <xf numFmtId="0" fontId="47" fillId="12" borderId="9" xfId="0" applyFont="1" applyFill="1" applyBorder="1"/>
    <xf numFmtId="176" fontId="33" fillId="12" borderId="4" xfId="0" applyNumberFormat="1" applyFont="1" applyFill="1" applyBorder="1" applyAlignment="1">
      <alignment horizontal="center"/>
    </xf>
    <xf numFmtId="175" fontId="30" fillId="12" borderId="5" xfId="0" applyNumberFormat="1" applyFont="1" applyFill="1" applyBorder="1"/>
    <xf numFmtId="183" fontId="34" fillId="12" borderId="0" xfId="0" applyNumberFormat="1" applyFont="1" applyFill="1" applyAlignment="1">
      <alignment horizontal="right"/>
    </xf>
    <xf numFmtId="166" fontId="47" fillId="12" borderId="6" xfId="0" applyNumberFormat="1" applyFont="1" applyFill="1" applyBorder="1" applyAlignment="1">
      <alignment horizontal="center"/>
    </xf>
    <xf numFmtId="166" fontId="47" fillId="12" borderId="4" xfId="0" applyNumberFormat="1" applyFont="1" applyFill="1" applyBorder="1" applyAlignment="1">
      <alignment horizontal="center"/>
    </xf>
    <xf numFmtId="166" fontId="47" fillId="12" borderId="0" xfId="0" applyNumberFormat="1" applyFont="1" applyFill="1" applyAlignment="1">
      <alignment horizontal="center"/>
    </xf>
    <xf numFmtId="179" fontId="30" fillId="12" borderId="6" xfId="0" applyNumberFormat="1" applyFont="1" applyFill="1" applyBorder="1" applyAlignment="1">
      <alignment horizontal="centerContinuous"/>
    </xf>
    <xf numFmtId="0" fontId="30" fillId="12" borderId="5" xfId="0" applyFont="1" applyFill="1" applyBorder="1" applyAlignment="1">
      <alignment horizontal="centerContinuous"/>
    </xf>
    <xf numFmtId="1" fontId="30" fillId="12" borderId="3" xfId="0" applyNumberFormat="1" applyFont="1" applyFill="1" applyBorder="1"/>
    <xf numFmtId="0" fontId="30" fillId="12" borderId="5" xfId="0" applyFont="1" applyFill="1" applyBorder="1"/>
    <xf numFmtId="176" fontId="33" fillId="12" borderId="0" xfId="0" applyNumberFormat="1" applyFont="1" applyFill="1" applyAlignment="1">
      <alignment horizontal="center"/>
    </xf>
    <xf numFmtId="175" fontId="30" fillId="12" borderId="7" xfId="0" applyNumberFormat="1" applyFont="1" applyFill="1" applyBorder="1"/>
    <xf numFmtId="166" fontId="46" fillId="12" borderId="14" xfId="0" applyNumberFormat="1" applyFont="1" applyFill="1" applyBorder="1" applyAlignment="1">
      <alignment horizontal="center"/>
    </xf>
    <xf numFmtId="0" fontId="30" fillId="12" borderId="7" xfId="0" applyFont="1" applyFill="1" applyBorder="1" applyAlignment="1">
      <alignment horizontal="centerContinuous"/>
    </xf>
    <xf numFmtId="1" fontId="30" fillId="12" borderId="6" xfId="0" applyNumberFormat="1" applyFont="1" applyFill="1" applyBorder="1"/>
    <xf numFmtId="0" fontId="30" fillId="12" borderId="7" xfId="0" applyFont="1" applyFill="1" applyBorder="1"/>
    <xf numFmtId="0" fontId="34" fillId="12" borderId="10" xfId="0" applyFont="1" applyFill="1" applyBorder="1" applyAlignment="1">
      <alignment horizontal="right"/>
    </xf>
    <xf numFmtId="0" fontId="47" fillId="12" borderId="10" xfId="0" applyFont="1" applyFill="1" applyBorder="1"/>
    <xf numFmtId="176" fontId="30" fillId="12" borderId="11" xfId="0" applyNumberFormat="1" applyFont="1" applyFill="1" applyBorder="1" applyAlignment="1">
      <alignment horizontal="center"/>
    </xf>
    <xf numFmtId="176" fontId="30" fillId="12" borderId="12" xfId="0" applyNumberFormat="1" applyFont="1" applyFill="1" applyBorder="1" applyAlignment="1">
      <alignment horizontal="center"/>
    </xf>
    <xf numFmtId="175" fontId="30" fillId="12" borderId="13" xfId="0" applyNumberFormat="1" applyFont="1" applyFill="1" applyBorder="1"/>
    <xf numFmtId="183" fontId="34" fillId="12" borderId="12" xfId="0" applyNumberFormat="1" applyFont="1" applyFill="1" applyBorder="1" applyAlignment="1">
      <alignment horizontal="right"/>
    </xf>
    <xf numFmtId="166" fontId="47" fillId="12" borderId="11" xfId="0" applyNumberFormat="1" applyFont="1" applyFill="1" applyBorder="1" applyAlignment="1">
      <alignment horizontal="center"/>
    </xf>
    <xf numFmtId="166" fontId="47" fillId="12" borderId="12" xfId="0" applyNumberFormat="1" applyFont="1" applyFill="1" applyBorder="1" applyAlignment="1">
      <alignment horizontal="center"/>
    </xf>
    <xf numFmtId="179" fontId="30" fillId="12" borderId="11" xfId="0" applyNumberFormat="1" applyFont="1" applyFill="1" applyBorder="1" applyAlignment="1">
      <alignment horizontal="centerContinuous"/>
    </xf>
    <xf numFmtId="0" fontId="30" fillId="12" borderId="13" xfId="0" applyFont="1" applyFill="1" applyBorder="1" applyAlignment="1">
      <alignment horizontal="centerContinuous"/>
    </xf>
    <xf numFmtId="1" fontId="30" fillId="12" borderId="11" xfId="0" applyNumberFormat="1" applyFont="1" applyFill="1" applyBorder="1"/>
    <xf numFmtId="0" fontId="34" fillId="12" borderId="9" xfId="0" applyFont="1" applyFill="1" applyBorder="1" applyAlignment="1">
      <alignment horizontal="right"/>
    </xf>
    <xf numFmtId="176" fontId="30" fillId="12" borderId="6" xfId="0" applyNumberFormat="1" applyFont="1" applyFill="1" applyBorder="1" applyAlignment="1">
      <alignment horizontal="center"/>
    </xf>
    <xf numFmtId="176" fontId="30" fillId="12" borderId="0" xfId="0" applyNumberFormat="1" applyFont="1" applyFill="1" applyAlignment="1">
      <alignment horizontal="center"/>
    </xf>
    <xf numFmtId="166" fontId="47" fillId="12" borderId="3" xfId="0" applyNumberFormat="1" applyFont="1" applyFill="1" applyBorder="1" applyAlignment="1">
      <alignment horizontal="center"/>
    </xf>
    <xf numFmtId="176" fontId="30" fillId="12" borderId="2" xfId="0" applyNumberFormat="1" applyFont="1" applyFill="1" applyBorder="1" applyAlignment="1">
      <alignment horizontal="center"/>
    </xf>
    <xf numFmtId="175" fontId="30" fillId="12" borderId="20" xfId="0" applyNumberFormat="1" applyFont="1" applyFill="1" applyBorder="1"/>
    <xf numFmtId="183" fontId="34" fillId="12" borderId="14" xfId="0" applyNumberFormat="1" applyFont="1" applyFill="1" applyBorder="1" applyAlignment="1">
      <alignment horizontal="right"/>
    </xf>
    <xf numFmtId="166" fontId="47" fillId="12" borderId="0" xfId="0" quotePrefix="1" applyNumberFormat="1" applyFont="1" applyFill="1" applyAlignment="1">
      <alignment horizontal="center"/>
    </xf>
    <xf numFmtId="166" fontId="46" fillId="12" borderId="14" xfId="0" quotePrefix="1" applyNumberFormat="1" applyFont="1" applyFill="1" applyBorder="1" applyAlignment="1">
      <alignment horizontal="center"/>
    </xf>
    <xf numFmtId="183" fontId="34" fillId="12" borderId="18" xfId="0" applyNumberFormat="1" applyFont="1" applyFill="1" applyBorder="1" applyAlignment="1">
      <alignment horizontal="right"/>
    </xf>
    <xf numFmtId="0" fontId="30" fillId="12" borderId="3" xfId="0" applyFont="1" applyFill="1" applyBorder="1"/>
    <xf numFmtId="0" fontId="48" fillId="12" borderId="4" xfId="0" quotePrefix="1" applyFont="1" applyFill="1" applyBorder="1" applyAlignment="1">
      <alignment horizontal="left"/>
    </xf>
    <xf numFmtId="0" fontId="50" fillId="12" borderId="4" xfId="0" quotePrefix="1" applyFont="1" applyFill="1" applyBorder="1" applyAlignment="1">
      <alignment horizontal="left"/>
    </xf>
    <xf numFmtId="0" fontId="49" fillId="12" borderId="4" xfId="0" applyFont="1" applyFill="1" applyBorder="1"/>
    <xf numFmtId="0" fontId="47" fillId="12" borderId="4" xfId="0" applyFont="1" applyFill="1" applyBorder="1"/>
    <xf numFmtId="175" fontId="30" fillId="12" borderId="4" xfId="0" applyNumberFormat="1" applyFont="1" applyFill="1" applyBorder="1" applyAlignment="1">
      <alignment horizontal="right"/>
    </xf>
    <xf numFmtId="0" fontId="30" fillId="12" borderId="4" xfId="0" applyFont="1" applyFill="1" applyBorder="1" applyAlignment="1">
      <alignment horizontal="left"/>
    </xf>
    <xf numFmtId="0" fontId="30" fillId="12" borderId="4" xfId="0" applyFont="1" applyFill="1" applyBorder="1"/>
    <xf numFmtId="0" fontId="30" fillId="12" borderId="15" xfId="0" applyFont="1" applyFill="1" applyBorder="1"/>
    <xf numFmtId="0" fontId="49" fillId="12" borderId="16" xfId="0" quotePrefix="1" applyFont="1" applyFill="1" applyBorder="1" applyAlignment="1">
      <alignment horizontal="left"/>
    </xf>
    <xf numFmtId="2" fontId="35" fillId="12" borderId="14" xfId="0" applyNumberFormat="1" applyFont="1" applyFill="1" applyBorder="1" applyAlignment="1">
      <alignment horizontal="center"/>
    </xf>
    <xf numFmtId="173" fontId="35" fillId="12" borderId="14" xfId="0" applyNumberFormat="1" applyFont="1" applyFill="1" applyBorder="1" applyAlignment="1">
      <alignment horizontal="center"/>
    </xf>
    <xf numFmtId="0" fontId="30" fillId="12" borderId="17" xfId="0" applyFont="1" applyFill="1" applyBorder="1"/>
    <xf numFmtId="0" fontId="47" fillId="12" borderId="16" xfId="0" applyFont="1" applyFill="1" applyBorder="1"/>
    <xf numFmtId="175" fontId="30" fillId="12" borderId="16" xfId="0" applyNumberFormat="1" applyFont="1" applyFill="1" applyBorder="1" applyAlignment="1">
      <alignment horizontal="right"/>
    </xf>
    <xf numFmtId="0" fontId="30" fillId="12" borderId="16" xfId="0" applyFont="1" applyFill="1" applyBorder="1" applyAlignment="1">
      <alignment horizontal="left"/>
    </xf>
    <xf numFmtId="0" fontId="30" fillId="12" borderId="16" xfId="0" applyFont="1" applyFill="1" applyBorder="1"/>
    <xf numFmtId="0" fontId="49" fillId="12" borderId="16" xfId="0" applyFont="1" applyFill="1" applyBorder="1"/>
    <xf numFmtId="0" fontId="30" fillId="12" borderId="16" xfId="0" applyFont="1" applyFill="1" applyBorder="1" applyAlignment="1">
      <alignment horizontal="center"/>
    </xf>
    <xf numFmtId="184" fontId="30" fillId="12" borderId="0" xfId="0" applyNumberFormat="1" applyFont="1" applyFill="1" applyAlignment="1">
      <alignment horizontal="center"/>
    </xf>
    <xf numFmtId="176" fontId="30" fillId="12" borderId="16" xfId="0" applyNumberFormat="1" applyFont="1" applyFill="1" applyBorder="1" applyAlignment="1">
      <alignment horizontal="center"/>
    </xf>
    <xf numFmtId="184" fontId="30" fillId="12" borderId="17" xfId="0" applyNumberFormat="1" applyFont="1" applyFill="1" applyBorder="1" applyAlignment="1">
      <alignment horizontal="center"/>
    </xf>
    <xf numFmtId="183" fontId="34" fillId="12" borderId="17" xfId="0" applyNumberFormat="1" applyFont="1" applyFill="1" applyBorder="1" applyAlignment="1">
      <alignment horizontal="right"/>
    </xf>
    <xf numFmtId="0" fontId="42" fillId="13" borderId="1" xfId="0" applyFont="1" applyFill="1" applyBorder="1" applyAlignment="1">
      <alignment horizontal="center"/>
    </xf>
    <xf numFmtId="0" fontId="42" fillId="13" borderId="14" xfId="0" applyFont="1" applyFill="1" applyBorder="1"/>
    <xf numFmtId="0" fontId="42" fillId="13" borderId="2" xfId="0" applyFont="1" applyFill="1" applyBorder="1"/>
    <xf numFmtId="0" fontId="42" fillId="13" borderId="15" xfId="0" applyFont="1" applyFill="1" applyBorder="1" applyAlignment="1">
      <alignment horizontal="center"/>
    </xf>
    <xf numFmtId="0" fontId="42" fillId="13" borderId="16" xfId="0" applyFont="1" applyFill="1" applyBorder="1" applyAlignment="1">
      <alignment horizontal="center"/>
    </xf>
    <xf numFmtId="0" fontId="42" fillId="13" borderId="17" xfId="0" applyFont="1" applyFill="1" applyBorder="1"/>
    <xf numFmtId="175" fontId="42" fillId="13" borderId="1" xfId="0" applyNumberFormat="1" applyFont="1" applyFill="1" applyBorder="1" applyAlignment="1">
      <alignment horizontal="centerContinuous"/>
    </xf>
    <xf numFmtId="2" fontId="42" fillId="13" borderId="20" xfId="0" applyNumberFormat="1" applyFont="1" applyFill="1" applyBorder="1" applyAlignment="1">
      <alignment horizontal="centerContinuous"/>
    </xf>
    <xf numFmtId="2" fontId="42" fillId="13" borderId="1" xfId="0" applyNumberFormat="1" applyFont="1" applyFill="1" applyBorder="1"/>
    <xf numFmtId="2" fontId="42" fillId="13" borderId="20" xfId="0" applyNumberFormat="1" applyFont="1" applyFill="1" applyBorder="1"/>
    <xf numFmtId="0" fontId="51" fillId="12" borderId="0" xfId="0" applyFont="1" applyFill="1"/>
    <xf numFmtId="0" fontId="51" fillId="0" borderId="0" xfId="0" applyFont="1"/>
    <xf numFmtId="0" fontId="42" fillId="15" borderId="8" xfId="0" applyFont="1" applyFill="1" applyBorder="1"/>
    <xf numFmtId="0" fontId="42" fillId="15" borderId="3" xfId="0" quotePrefix="1" applyFont="1" applyFill="1" applyBorder="1" applyAlignment="1">
      <alignment horizontal="left"/>
    </xf>
    <xf numFmtId="0" fontId="42" fillId="15" borderId="4" xfId="0" applyFont="1" applyFill="1" applyBorder="1"/>
    <xf numFmtId="0" fontId="43" fillId="15" borderId="5" xfId="0" quotePrefix="1" applyFont="1" applyFill="1" applyBorder="1" applyAlignment="1">
      <alignment horizontal="center"/>
    </xf>
    <xf numFmtId="0" fontId="43" fillId="15" borderId="8" xfId="0" applyFont="1" applyFill="1" applyBorder="1" applyAlignment="1">
      <alignment horizontal="center"/>
    </xf>
    <xf numFmtId="0" fontId="43" fillId="15" borderId="3" xfId="0" applyFont="1" applyFill="1" applyBorder="1" applyAlignment="1">
      <alignment horizontal="centerContinuous"/>
    </xf>
    <xf numFmtId="0" fontId="43" fillId="15" borderId="4" xfId="0" applyFont="1" applyFill="1" applyBorder="1" applyAlignment="1">
      <alignment horizontal="centerContinuous"/>
    </xf>
    <xf numFmtId="0" fontId="43" fillId="15" borderId="5" xfId="0" applyFont="1" applyFill="1" applyBorder="1" applyAlignment="1">
      <alignment horizontal="centerContinuous"/>
    </xf>
    <xf numFmtId="0" fontId="42" fillId="15" borderId="9" xfId="0" applyFont="1" applyFill="1" applyBorder="1"/>
    <xf numFmtId="0" fontId="42" fillId="15" borderId="9" xfId="0" applyFont="1" applyFill="1" applyBorder="1" applyAlignment="1">
      <alignment horizontal="center"/>
    </xf>
    <xf numFmtId="0" fontId="42" fillId="15" borderId="6" xfId="0" applyFont="1" applyFill="1" applyBorder="1" applyAlignment="1">
      <alignment horizontal="centerContinuous"/>
    </xf>
    <xf numFmtId="0" fontId="42" fillId="15" borderId="0" xfId="0" applyFont="1" applyFill="1" applyAlignment="1">
      <alignment horizontal="centerContinuous"/>
    </xf>
    <xf numFmtId="0" fontId="43" fillId="15" borderId="7" xfId="0" applyFont="1" applyFill="1" applyBorder="1" applyAlignment="1">
      <alignment horizontal="center"/>
    </xf>
    <xf numFmtId="0" fontId="43" fillId="15" borderId="9" xfId="0" quotePrefix="1" applyFont="1" applyFill="1" applyBorder="1" applyAlignment="1">
      <alignment horizontal="center"/>
    </xf>
    <xf numFmtId="0" fontId="43" fillId="15" borderId="6" xfId="0" applyFont="1" applyFill="1" applyBorder="1" applyAlignment="1">
      <alignment horizontal="centerContinuous"/>
    </xf>
    <xf numFmtId="0" fontId="43" fillId="15" borderId="0" xfId="0" applyFont="1" applyFill="1" applyAlignment="1">
      <alignment horizontal="centerContinuous"/>
    </xf>
    <xf numFmtId="0" fontId="43" fillId="15" borderId="7" xfId="0" applyFont="1" applyFill="1" applyBorder="1" applyAlignment="1">
      <alignment horizontal="centerContinuous"/>
    </xf>
    <xf numFmtId="0" fontId="42" fillId="15" borderId="10" xfId="0" applyFont="1" applyFill="1" applyBorder="1"/>
    <xf numFmtId="0" fontId="42" fillId="15" borderId="11" xfId="0" applyFont="1" applyFill="1" applyBorder="1" applyAlignment="1">
      <alignment horizontal="center"/>
    </xf>
    <xf numFmtId="0" fontId="42" fillId="15" borderId="12" xfId="0" applyFont="1" applyFill="1" applyBorder="1" applyAlignment="1">
      <alignment horizontal="center"/>
    </xf>
    <xf numFmtId="0" fontId="43" fillId="15" borderId="13" xfId="0" quotePrefix="1" applyFont="1" applyFill="1" applyBorder="1" applyAlignment="1">
      <alignment horizontal="center"/>
    </xf>
    <xf numFmtId="0" fontId="43" fillId="15" borderId="10" xfId="0" applyFont="1" applyFill="1" applyBorder="1" applyAlignment="1">
      <alignment horizontal="center"/>
    </xf>
    <xf numFmtId="0" fontId="43" fillId="15" borderId="11" xfId="0" applyFont="1" applyFill="1" applyBorder="1" applyAlignment="1">
      <alignment horizontal="center"/>
    </xf>
    <xf numFmtId="0" fontId="43" fillId="15" borderId="12" xfId="0" applyFont="1" applyFill="1" applyBorder="1" applyAlignment="1">
      <alignment horizontal="center"/>
    </xf>
    <xf numFmtId="0" fontId="43" fillId="15" borderId="11" xfId="0" applyFont="1" applyFill="1" applyBorder="1" applyAlignment="1">
      <alignment horizontal="centerContinuous"/>
    </xf>
    <xf numFmtId="0" fontId="43" fillId="15" borderId="13" xfId="0" applyFont="1" applyFill="1" applyBorder="1" applyAlignment="1">
      <alignment horizontal="centerContinuous"/>
    </xf>
    <xf numFmtId="0" fontId="42" fillId="13" borderId="18" xfId="0" applyFont="1" applyFill="1" applyBorder="1"/>
    <xf numFmtId="165" fontId="42" fillId="13" borderId="16" xfId="0" applyNumberFormat="1" applyFont="1" applyFill="1" applyBorder="1"/>
    <xf numFmtId="164" fontId="42" fillId="13" borderId="18" xfId="0" applyNumberFormat="1" applyFont="1" applyFill="1" applyBorder="1" applyAlignment="1">
      <alignment horizontal="right"/>
    </xf>
    <xf numFmtId="166" fontId="42" fillId="13" borderId="15" xfId="0" applyNumberFormat="1" applyFont="1" applyFill="1" applyBorder="1" applyAlignment="1">
      <alignment horizontal="center"/>
    </xf>
    <xf numFmtId="166" fontId="42" fillId="13" borderId="16" xfId="0" applyNumberFormat="1" applyFont="1" applyFill="1" applyBorder="1" applyAlignment="1">
      <alignment horizontal="center"/>
    </xf>
    <xf numFmtId="0" fontId="42" fillId="13" borderId="2" xfId="0" applyFont="1" applyFill="1" applyBorder="1" applyAlignment="1">
      <alignment horizontal="center"/>
    </xf>
    <xf numFmtId="166" fontId="42" fillId="13" borderId="1" xfId="0" applyNumberFormat="1" applyFont="1" applyFill="1" applyBorder="1" applyAlignment="1">
      <alignment horizontal="center"/>
    </xf>
    <xf numFmtId="166" fontId="42" fillId="13" borderId="2" xfId="0" applyNumberFormat="1" applyFont="1" applyFill="1" applyBorder="1" applyAlignment="1">
      <alignment horizontal="center"/>
    </xf>
    <xf numFmtId="0" fontId="42" fillId="14" borderId="8" xfId="0" applyFont="1" applyFill="1" applyBorder="1" applyAlignment="1">
      <alignment horizontal="center" vertical="center" wrapText="1"/>
    </xf>
    <xf numFmtId="0" fontId="42" fillId="12" borderId="0" xfId="0" applyFont="1" applyFill="1"/>
    <xf numFmtId="0" fontId="42" fillId="0" borderId="0" xfId="0" applyFont="1"/>
    <xf numFmtId="0" fontId="42" fillId="14" borderId="14" xfId="0" applyFont="1" applyFill="1" applyBorder="1" applyAlignment="1">
      <alignment horizontal="center" vertical="center" wrapText="1"/>
    </xf>
    <xf numFmtId="0" fontId="42" fillId="14" borderId="14" xfId="0" applyFont="1" applyFill="1" applyBorder="1" applyAlignment="1">
      <alignment horizontal="center" vertical="center"/>
    </xf>
    <xf numFmtId="0" fontId="42" fillId="14" borderId="3" xfId="0" quotePrefix="1" applyFont="1" applyFill="1" applyBorder="1" applyAlignment="1">
      <alignment horizontal="centerContinuous" vertical="center"/>
    </xf>
    <xf numFmtId="0" fontId="42" fillId="14" borderId="4" xfId="0" applyFont="1" applyFill="1" applyBorder="1" applyAlignment="1">
      <alignment horizontal="centerContinuous" vertical="center"/>
    </xf>
    <xf numFmtId="0" fontId="42" fillId="14" borderId="5" xfId="0" applyFont="1" applyFill="1" applyBorder="1" applyAlignment="1">
      <alignment horizontal="centerContinuous" vertical="center"/>
    </xf>
    <xf numFmtId="0" fontId="42" fillId="14" borderId="8" xfId="0" applyFont="1" applyFill="1" applyBorder="1" applyAlignment="1">
      <alignment horizontal="center" vertical="center"/>
    </xf>
    <xf numFmtId="0" fontId="42" fillId="14" borderId="1" xfId="0" quotePrefix="1" applyFont="1" applyFill="1" applyBorder="1" applyAlignment="1">
      <alignment horizontal="center" vertical="center"/>
    </xf>
    <xf numFmtId="0" fontId="42" fillId="14" borderId="2" xfId="0" applyFont="1" applyFill="1" applyBorder="1" applyAlignment="1">
      <alignment horizontal="center" vertical="center"/>
    </xf>
    <xf numFmtId="0" fontId="42" fillId="14" borderId="20" xfId="0" applyFont="1" applyFill="1" applyBorder="1" applyAlignment="1">
      <alignment horizontal="center" vertical="center"/>
    </xf>
    <xf numFmtId="0" fontId="42" fillId="14" borderId="1" xfId="0" applyFont="1" applyFill="1" applyBorder="1" applyAlignment="1">
      <alignment horizontal="centerContinuous" vertical="center"/>
    </xf>
    <xf numFmtId="0" fontId="42" fillId="14" borderId="20" xfId="0" applyFont="1" applyFill="1" applyBorder="1" applyAlignment="1">
      <alignment horizontal="centerContinuous" vertical="center"/>
    </xf>
    <xf numFmtId="0" fontId="42" fillId="13" borderId="16" xfId="0" applyFont="1" applyFill="1" applyBorder="1"/>
    <xf numFmtId="175" fontId="42" fillId="13" borderId="15" xfId="0" applyNumberFormat="1" applyFont="1" applyFill="1" applyBorder="1" applyAlignment="1">
      <alignment horizontal="centerContinuous"/>
    </xf>
    <xf numFmtId="0" fontId="42" fillId="13" borderId="17" xfId="0" applyFont="1" applyFill="1" applyBorder="1" applyAlignment="1">
      <alignment horizontal="centerContinuous"/>
    </xf>
    <xf numFmtId="2" fontId="42" fillId="13" borderId="15" xfId="0" applyNumberFormat="1" applyFont="1" applyFill="1" applyBorder="1"/>
    <xf numFmtId="0" fontId="42" fillId="13" borderId="20" xfId="0" applyFont="1" applyFill="1" applyBorder="1" applyAlignment="1">
      <alignment horizontal="centerContinuous"/>
    </xf>
    <xf numFmtId="0" fontId="42" fillId="13" borderId="20" xfId="0" applyFont="1" applyFill="1" applyBorder="1"/>
    <xf numFmtId="166" fontId="47" fillId="12" borderId="14" xfId="0" applyNumberFormat="1" applyFont="1" applyFill="1" applyBorder="1" applyAlignment="1">
      <alignment horizontal="center"/>
    </xf>
    <xf numFmtId="166" fontId="47" fillId="12" borderId="26" xfId="0" quotePrefix="1" applyNumberFormat="1" applyFont="1" applyFill="1" applyBorder="1" applyAlignment="1">
      <alignment horizontal="center"/>
    </xf>
    <xf numFmtId="0" fontId="43" fillId="14" borderId="14" xfId="0" applyFont="1" applyFill="1" applyBorder="1" applyAlignment="1">
      <alignment horizontal="center"/>
    </xf>
    <xf numFmtId="0" fontId="30" fillId="14" borderId="3" xfId="0" quotePrefix="1" applyFont="1" applyFill="1" applyBorder="1" applyAlignment="1">
      <alignment horizontal="centerContinuous" vertical="center"/>
    </xf>
    <xf numFmtId="0" fontId="30" fillId="14" borderId="4" xfId="0" applyFont="1" applyFill="1" applyBorder="1" applyAlignment="1">
      <alignment horizontal="centerContinuous" vertical="center"/>
    </xf>
    <xf numFmtId="0" fontId="30" fillId="14" borderId="5" xfId="0" applyFont="1" applyFill="1" applyBorder="1" applyAlignment="1">
      <alignment horizontal="centerContinuous" vertical="center"/>
    </xf>
    <xf numFmtId="0" fontId="46" fillId="0" borderId="0" xfId="0" applyFont="1"/>
    <xf numFmtId="0" fontId="47" fillId="0" borderId="6" xfId="0" applyFont="1" applyBorder="1"/>
    <xf numFmtId="0" fontId="47" fillId="0" borderId="0" xfId="0" applyFont="1" applyAlignment="1">
      <alignment horizontal="center"/>
    </xf>
    <xf numFmtId="0" fontId="47" fillId="0" borderId="0" xfId="0" applyFont="1"/>
    <xf numFmtId="175" fontId="47" fillId="0" borderId="0" xfId="0" applyNumberFormat="1" applyFont="1" applyAlignment="1">
      <alignment horizontal="right"/>
    </xf>
    <xf numFmtId="0" fontId="47" fillId="0" borderId="0" xfId="0" applyFont="1" applyAlignment="1">
      <alignment horizontal="left"/>
    </xf>
    <xf numFmtId="0" fontId="47" fillId="0" borderId="7" xfId="0" applyFont="1" applyBorder="1"/>
    <xf numFmtId="0" fontId="46" fillId="0" borderId="3" xfId="0" applyFont="1" applyBorder="1"/>
    <xf numFmtId="0" fontId="47" fillId="0" borderId="4" xfId="0" applyFont="1" applyBorder="1" applyAlignment="1">
      <alignment horizontal="center"/>
    </xf>
    <xf numFmtId="2" fontId="47" fillId="0" borderId="4" xfId="0" applyNumberFormat="1" applyFont="1" applyBorder="1" applyAlignment="1">
      <alignment horizontal="center"/>
    </xf>
    <xf numFmtId="0" fontId="47" fillId="0" borderId="5" xfId="0" applyFont="1" applyBorder="1"/>
    <xf numFmtId="0" fontId="46" fillId="0" borderId="4" xfId="0" applyFont="1" applyBorder="1"/>
    <xf numFmtId="175" fontId="47" fillId="0" borderId="4" xfId="0" applyNumberFormat="1" applyFont="1" applyBorder="1" applyAlignment="1">
      <alignment horizontal="right"/>
    </xf>
    <xf numFmtId="0" fontId="47" fillId="0" borderId="4" xfId="0" applyFont="1" applyBorder="1" applyAlignment="1">
      <alignment horizontal="left"/>
    </xf>
    <xf numFmtId="0" fontId="47" fillId="0" borderId="0" xfId="0" quotePrefix="1" applyFont="1" applyAlignment="1">
      <alignment horizontal="center"/>
    </xf>
    <xf numFmtId="0" fontId="47" fillId="0" borderId="15" xfId="0" applyFont="1" applyBorder="1"/>
    <xf numFmtId="0" fontId="47" fillId="0" borderId="16" xfId="0" applyFont="1" applyBorder="1" applyAlignment="1">
      <alignment horizontal="center"/>
    </xf>
    <xf numFmtId="0" fontId="47" fillId="0" borderId="17" xfId="0" applyFont="1" applyBorder="1"/>
    <xf numFmtId="2" fontId="47" fillId="0" borderId="16" xfId="0" applyNumberFormat="1" applyFont="1" applyBorder="1" applyAlignment="1">
      <alignment horizontal="center"/>
    </xf>
    <xf numFmtId="175" fontId="47" fillId="0" borderId="16" xfId="0" applyNumberFormat="1" applyFont="1" applyBorder="1" applyAlignment="1">
      <alignment horizontal="right"/>
    </xf>
    <xf numFmtId="0" fontId="47" fillId="0" borderId="16" xfId="0" applyFont="1" applyBorder="1" applyAlignment="1">
      <alignment horizontal="left"/>
    </xf>
    <xf numFmtId="0" fontId="46" fillId="0" borderId="6" xfId="0" applyFont="1" applyBorder="1"/>
    <xf numFmtId="2" fontId="47" fillId="0" borderId="0" xfId="0" applyNumberFormat="1" applyFont="1" applyAlignment="1">
      <alignment horizontal="center"/>
    </xf>
    <xf numFmtId="0" fontId="47" fillId="12" borderId="0" xfId="0" applyFont="1" applyFill="1"/>
    <xf numFmtId="0" fontId="47" fillId="12" borderId="0" xfId="0" applyFont="1" applyFill="1" applyAlignment="1">
      <alignment horizontal="center"/>
    </xf>
    <xf numFmtId="175" fontId="47" fillId="12" borderId="0" xfId="0" applyNumberFormat="1" applyFont="1" applyFill="1" applyAlignment="1">
      <alignment horizontal="right"/>
    </xf>
    <xf numFmtId="0" fontId="47" fillId="12" borderId="0" xfId="0" applyFont="1" applyFill="1" applyAlignment="1">
      <alignment horizontal="left"/>
    </xf>
    <xf numFmtId="0" fontId="52" fillId="12" borderId="0" xfId="0" quotePrefix="1" applyFont="1" applyFill="1" applyAlignment="1">
      <alignment horizontal="left"/>
    </xf>
    <xf numFmtId="0" fontId="47" fillId="12" borderId="0" xfId="0" quotePrefix="1" applyFont="1" applyFill="1" applyAlignment="1">
      <alignment horizontal="left"/>
    </xf>
    <xf numFmtId="166" fontId="47" fillId="0" borderId="6" xfId="0" applyNumberFormat="1" applyFont="1" applyBorder="1" applyAlignment="1">
      <alignment horizontal="center"/>
    </xf>
    <xf numFmtId="166" fontId="47" fillId="0" borderId="0" xfId="0" applyNumberFormat="1" applyFont="1" applyAlignment="1">
      <alignment horizontal="center"/>
    </xf>
    <xf numFmtId="179" fontId="47" fillId="0" borderId="6" xfId="0" applyNumberFormat="1" applyFont="1" applyBorder="1" applyAlignment="1">
      <alignment horizontal="centerContinuous"/>
    </xf>
    <xf numFmtId="0" fontId="47" fillId="0" borderId="7" xfId="0" applyFont="1" applyBorder="1" applyAlignment="1">
      <alignment horizontal="centerContinuous"/>
    </xf>
    <xf numFmtId="166" fontId="47" fillId="0" borderId="15" xfId="0" applyNumberFormat="1" applyFont="1" applyBorder="1" applyAlignment="1">
      <alignment horizontal="center"/>
    </xf>
    <xf numFmtId="166" fontId="47" fillId="0" borderId="16" xfId="0" applyNumberFormat="1" applyFont="1" applyBorder="1" applyAlignment="1">
      <alignment horizontal="center"/>
    </xf>
    <xf numFmtId="179" fontId="47" fillId="0" borderId="15" xfId="0" applyNumberFormat="1" applyFont="1" applyBorder="1" applyAlignment="1">
      <alignment horizontal="centerContinuous"/>
    </xf>
    <xf numFmtId="0" fontId="47" fillId="0" borderId="17" xfId="0" applyFont="1" applyBorder="1" applyAlignment="1">
      <alignment horizontal="centerContinuous"/>
    </xf>
    <xf numFmtId="166" fontId="47" fillId="0" borderId="3" xfId="0" applyNumberFormat="1" applyFont="1" applyBorder="1" applyAlignment="1">
      <alignment horizontal="center"/>
    </xf>
    <xf numFmtId="166" fontId="47" fillId="0" borderId="4" xfId="0" applyNumberFormat="1" applyFont="1" applyBorder="1" applyAlignment="1">
      <alignment horizontal="center"/>
    </xf>
    <xf numFmtId="179" fontId="47" fillId="0" borderId="3" xfId="0" applyNumberFormat="1" applyFont="1" applyBorder="1" applyAlignment="1">
      <alignment horizontal="centerContinuous"/>
    </xf>
    <xf numFmtId="0" fontId="47" fillId="0" borderId="5" xfId="0" applyFont="1" applyBorder="1" applyAlignment="1">
      <alignment horizontal="centerContinuous"/>
    </xf>
    <xf numFmtId="0" fontId="47" fillId="12" borderId="5" xfId="0" applyFont="1" applyFill="1" applyBorder="1"/>
    <xf numFmtId="0" fontId="47" fillId="12" borderId="7" xfId="0" applyFont="1" applyFill="1" applyBorder="1"/>
    <xf numFmtId="0" fontId="47" fillId="12" borderId="13" xfId="0" applyFont="1" applyFill="1" applyBorder="1"/>
    <xf numFmtId="1" fontId="47" fillId="12" borderId="6" xfId="0" applyNumberFormat="1" applyFont="1" applyFill="1" applyBorder="1"/>
    <xf numFmtId="0" fontId="54" fillId="14" borderId="18" xfId="0" applyFont="1" applyFill="1" applyBorder="1" applyAlignment="1">
      <alignment vertical="center"/>
    </xf>
    <xf numFmtId="176" fontId="55" fillId="12" borderId="3" xfId="0" applyNumberFormat="1" applyFont="1" applyFill="1" applyBorder="1" applyAlignment="1">
      <alignment horizontal="center"/>
    </xf>
    <xf numFmtId="176" fontId="55" fillId="12" borderId="6" xfId="0" applyNumberFormat="1" applyFont="1" applyFill="1" applyBorder="1" applyAlignment="1">
      <alignment horizontal="center"/>
    </xf>
    <xf numFmtId="176" fontId="55" fillId="12" borderId="11" xfId="0" applyNumberFormat="1" applyFont="1" applyFill="1" applyBorder="1" applyAlignment="1">
      <alignment horizontal="center"/>
    </xf>
    <xf numFmtId="0" fontId="47" fillId="12" borderId="8" xfId="0" applyFont="1" applyFill="1" applyBorder="1" applyAlignment="1">
      <alignment horizontal="right"/>
    </xf>
    <xf numFmtId="0" fontId="47" fillId="12" borderId="9" xfId="0" applyFont="1" applyFill="1" applyBorder="1" applyAlignment="1">
      <alignment horizontal="right"/>
    </xf>
    <xf numFmtId="0" fontId="47" fillId="12" borderId="10" xfId="0" applyFont="1" applyFill="1" applyBorder="1" applyAlignment="1">
      <alignment horizontal="right"/>
    </xf>
    <xf numFmtId="166" fontId="47" fillId="12" borderId="8" xfId="0" applyNumberFormat="1" applyFont="1" applyFill="1" applyBorder="1" applyAlignment="1">
      <alignment horizontal="center"/>
    </xf>
    <xf numFmtId="166" fontId="47" fillId="12" borderId="27" xfId="0" applyNumberFormat="1" applyFont="1" applyFill="1" applyBorder="1" applyAlignment="1">
      <alignment horizontal="center"/>
    </xf>
    <xf numFmtId="0" fontId="42" fillId="14" borderId="3" xfId="0" applyFont="1" applyFill="1" applyBorder="1" applyAlignment="1">
      <alignment horizontal="center" vertical="center" wrapText="1"/>
    </xf>
    <xf numFmtId="0" fontId="42" fillId="14" borderId="4" xfId="0" applyFont="1" applyFill="1" applyBorder="1" applyAlignment="1">
      <alignment horizontal="center" vertical="center" wrapText="1"/>
    </xf>
    <xf numFmtId="0" fontId="42" fillId="14" borderId="2" xfId="0" applyFont="1" applyFill="1" applyBorder="1" applyAlignment="1">
      <alignment horizontal="center" vertical="center" wrapText="1"/>
    </xf>
    <xf numFmtId="0" fontId="42" fillId="14" borderId="20" xfId="0" applyFont="1" applyFill="1" applyBorder="1" applyAlignment="1">
      <alignment horizontal="center" vertical="center" wrapText="1"/>
    </xf>
    <xf numFmtId="0" fontId="30" fillId="14" borderId="1" xfId="0" applyFont="1" applyFill="1" applyBorder="1" applyAlignment="1">
      <alignment horizontal="center" vertical="center"/>
    </xf>
    <xf numFmtId="0" fontId="30" fillId="14" borderId="2" xfId="0" applyFont="1" applyFill="1" applyBorder="1" applyAlignment="1">
      <alignment horizontal="center" vertical="center"/>
    </xf>
    <xf numFmtId="0" fontId="30" fillId="14" borderId="20" xfId="0" applyFont="1" applyFill="1" applyBorder="1" applyAlignment="1">
      <alignment horizontal="center" vertical="center"/>
    </xf>
    <xf numFmtId="0" fontId="45" fillId="0" borderId="0" xfId="0" quotePrefix="1" applyFont="1" applyAlignment="1">
      <alignment horizontal="center" vertical="center"/>
    </xf>
    <xf numFmtId="0" fontId="45" fillId="0" borderId="16" xfId="0" quotePrefix="1" applyFont="1" applyBorder="1" applyAlignment="1">
      <alignment horizontal="center" vertical="center"/>
    </xf>
    <xf numFmtId="0" fontId="0" fillId="0" borderId="0" xfId="0" applyAlignment="1">
      <alignment horizontal="center"/>
    </xf>
  </cellXfs>
  <cellStyles count="5">
    <cellStyle name="Prozent" xfId="4" builtinId="5"/>
    <cellStyle name="Standard" xfId="0" builtinId="0"/>
    <cellStyle name="Standard_Entzug Frischmasse" xfId="1" xr:uid="{00000000-0005-0000-0000-000001000000}"/>
    <cellStyle name="Standard_Nährstoffgehalt" xfId="2" xr:uid="{00000000-0005-0000-0000-000002000000}"/>
    <cellStyle name="Währung" xfId="3" builtinId="4"/>
  </cellStyles>
  <dxfs count="6"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245447"/>
      <color rgb="FF389165"/>
      <color rgb="FF66B779"/>
      <color rgb="FF0000FF"/>
      <color rgb="FFFFFFCC"/>
      <color rgb="FF009900"/>
      <color rgb="FF339966"/>
      <color rgb="FF33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onnections" Target="connection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52916</xdr:colOff>
      <xdr:row>2</xdr:row>
      <xdr:rowOff>190500</xdr:rowOff>
    </xdr:from>
    <xdr:to>
      <xdr:col>18</xdr:col>
      <xdr:colOff>303106</xdr:colOff>
      <xdr:row>3</xdr:row>
      <xdr:rowOff>437730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CDED76D7-A410-EE4E-C79A-0F7A8A6B98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08166" y="190500"/>
          <a:ext cx="1068917" cy="522397"/>
        </a:xfrm>
        <a:prstGeom prst="rect">
          <a:avLst/>
        </a:prstGeom>
      </xdr:spPr>
    </xdr:pic>
    <xdr:clientData/>
  </xdr:twoCell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eDaten_2" connectionId="1" xr16:uid="{EA1EB231-F490-4261-822E-ED9DBA3C0CD4}" autoFormatId="16" applyNumberFormats="0" applyBorderFormats="0" applyFontFormats="0" applyPatternFormats="0" applyAlignmentFormats="0" applyWidthHeightFormats="0">
  <queryTableRefresh nextId="4">
    <queryTableFields count="3">
      <queryTableField id="1" name="Achtung:  Zum Teil nur Einzelmeldungen und zeitlich begrenzte Kurse._x000a__x0009__x000a__x000a__x000a__x0009__x0009__x000a__x0009__x0009__x0009__x0009_Sortiere aufsteigend Sortiere absteigend" tableColumnId="1"/>
      <queryTableField id="2" name="Preise je dt (100 kg)!_x000a__x0009__x000a__x000a__x000a__x0009__x0009__x000a__x0009__x0009__x0009__x0009_Sortiere aufsteigend Sortiere absteigend" tableColumnId="2"/>
      <queryTableField id="3" name="Sortiere aufsteigend Sortiere absteigend" tableColumnId="3"/>
    </queryTableFields>
  </queryTableRefresh>
</queryTable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eDaten_1" connectionId="5" xr16:uid="{931EFE7F-EAD9-4AC5-96F9-C5F2573036D5}" autoFormatId="16" applyNumberFormats="0" applyBorderFormats="0" applyFontFormats="0" applyPatternFormats="0" applyAlignmentFormats="0" applyWidthHeightFormats="0">
  <queryTableRefresh nextId="4">
    <queryTableFields count="3">
      <queryTableField id="1" name="Column1" tableColumnId="1"/>
      <queryTableField id="2" name="Column2" tableColumnId="2"/>
      <queryTableField id="3" name="Column3" tableColumnId="3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657355E0-29ED-48F4-BD78-0EF922AC91E9}" name="Düngemittelpreise___________Preisermittlung_der_Landwirtschaftskammer_für_die_144" displayName="Düngemittelpreise___________Preisermittlung_der_Landwirtschaftskammer_für_die_144" ref="A1:C20" tableType="queryTable" totalsRowShown="0">
  <autoFilter ref="A1:C20" xr:uid="{657355E0-29ED-48F4-BD78-0EF922AC91E9}"/>
  <tableColumns count="3">
    <tableColumn id="1" xr3:uid="{EB2E9CA1-73CD-488D-9A30-C27CB7058551}" uniqueName="1" name="Achtung:  Zum Teil nur Einzelmeldungen und zeitlich begrenzte Kurse._x000a__x0009__x000a__x000a__x000a__x0009__x0009__x000a__x0009__x0009__x0009__x0009_Sortiere aufsteigend Sortiere absteigend" queryTableFieldId="1" dataDxfId="5"/>
    <tableColumn id="2" xr3:uid="{9E546AD3-FA2B-4CC5-8667-1FCFD4D90673}" uniqueName="2" name="Preise je dt (100 kg)!_x000a__x0009__x000a__x000a__x000a__x0009__x0009__x000a__x0009__x0009__x0009__x0009_Sortiere aufsteigend Sortiere absteigend" queryTableFieldId="2" dataDxfId="4"/>
    <tableColumn id="3" xr3:uid="{EE52C5F9-6ECD-40CD-A319-421463D90677}" uniqueName="3" name="Sortiere aufsteigend Sortiere absteigend" queryTableFieldId="3" dataDxfId="3"/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6442C935-AF41-41C1-9EE5-6F4E49348B09}" name="Tabelle_1" displayName="Tabelle_1" ref="A1:C22" tableType="queryTable" totalsRowShown="0">
  <autoFilter ref="A1:C22" xr:uid="{6442C935-AF41-41C1-9EE5-6F4E49348B09}"/>
  <tableColumns count="3">
    <tableColumn id="1" xr3:uid="{1FBE72EF-43E7-4417-8538-B1A73149DE62}" uniqueName="1" name="Column1" queryTableFieldId="1" dataDxfId="2"/>
    <tableColumn id="2" xr3:uid="{97AFFD67-CB78-4653-BE66-9B622F343BF3}" uniqueName="2" name="Column2" queryTableFieldId="2" dataDxfId="1"/>
    <tableColumn id="3" xr3:uid="{F8360F8C-6DA8-4BBC-975B-E1012A4F2DE3}" uniqueName="3" name="Column3" queryTableFieldId="3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CX146"/>
  <sheetViews>
    <sheetView tabSelected="1" topLeftCell="A4" zoomScaleNormal="100" workbookViewId="0">
      <selection activeCell="A81" sqref="A81"/>
    </sheetView>
  </sheetViews>
  <sheetFormatPr baseColWidth="10" defaultColWidth="11.5" defaultRowHeight="12.3" x14ac:dyDescent="0.4"/>
  <cols>
    <col min="1" max="1" width="9.1640625" style="575" customWidth="1"/>
    <col min="2" max="2" width="38.83203125" style="575" customWidth="1"/>
    <col min="3" max="7" width="5.5" style="603" customWidth="1"/>
    <col min="8" max="8" width="6.5" style="603" customWidth="1"/>
    <col min="9" max="9" width="6.5" style="575" customWidth="1"/>
    <col min="10" max="10" width="7.5" style="575" customWidth="1"/>
    <col min="11" max="15" width="6.5" style="575" customWidth="1"/>
    <col min="16" max="16" width="5.5" style="604" customWidth="1"/>
    <col min="17" max="17" width="4.1640625" style="605" customWidth="1"/>
    <col min="18" max="18" width="6.5" style="575" customWidth="1"/>
    <col min="19" max="19" width="5.5" style="575" customWidth="1"/>
    <col min="20" max="20" width="5.5" hidden="1" customWidth="1"/>
    <col min="21" max="21" width="0" hidden="1" customWidth="1"/>
    <col min="22" max="102" width="11.5" style="574"/>
    <col min="103" max="16384" width="11.5" style="575"/>
  </cols>
  <sheetData>
    <row r="1" spans="1:102" customFormat="1" ht="22.5" hidden="1" customHeight="1" x14ac:dyDescent="0.75">
      <c r="A1" s="256" t="s">
        <v>0</v>
      </c>
      <c r="B1" s="227"/>
      <c r="C1" s="227"/>
      <c r="D1" s="227"/>
      <c r="E1" s="227"/>
      <c r="F1" s="2"/>
      <c r="G1" s="227"/>
      <c r="H1" s="227"/>
      <c r="M1" s="227"/>
      <c r="N1" s="227"/>
      <c r="O1" s="227"/>
      <c r="P1" s="305"/>
      <c r="Q1" s="350">
        <f ca="1">NOW()</f>
        <v>45772.509750462959</v>
      </c>
      <c r="R1" s="227"/>
      <c r="S1" s="227"/>
      <c r="T1" s="227"/>
    </row>
    <row r="2" spans="1:102" customFormat="1" ht="22.5" hidden="1" customHeight="1" x14ac:dyDescent="0.4">
      <c r="C2" s="2"/>
      <c r="D2" s="2"/>
      <c r="E2" s="2"/>
      <c r="F2" s="2"/>
      <c r="G2" s="2"/>
      <c r="H2" s="2"/>
      <c r="P2" s="306"/>
      <c r="Q2" s="306"/>
    </row>
    <row r="3" spans="1:102" customFormat="1" ht="22.5" customHeight="1" x14ac:dyDescent="0.4">
      <c r="A3" s="827" t="s">
        <v>1</v>
      </c>
      <c r="B3" s="827"/>
      <c r="C3" s="827"/>
      <c r="D3" s="827"/>
      <c r="E3" s="827"/>
      <c r="F3" s="827"/>
      <c r="G3" s="827"/>
      <c r="H3" s="827"/>
      <c r="I3" s="827"/>
      <c r="J3" s="827"/>
      <c r="K3" s="827"/>
      <c r="L3" s="827"/>
      <c r="M3" s="827"/>
      <c r="N3" s="827"/>
      <c r="O3" s="827"/>
      <c r="P3" s="827"/>
      <c r="Q3" s="827"/>
      <c r="R3" s="827"/>
      <c r="S3" s="827"/>
      <c r="V3" s="829"/>
      <c r="W3" s="829"/>
      <c r="X3" s="829"/>
      <c r="Y3" s="829"/>
      <c r="Z3" s="829"/>
      <c r="AA3" s="829"/>
      <c r="AB3" s="829"/>
      <c r="AC3" s="829"/>
      <c r="AD3" s="829"/>
      <c r="AE3" s="829"/>
      <c r="AF3" s="829"/>
      <c r="AG3" s="829"/>
      <c r="AH3" s="829"/>
      <c r="AI3" s="829"/>
      <c r="AJ3" s="829"/>
      <c r="AK3" s="829"/>
      <c r="AL3" s="829"/>
      <c r="AM3" s="829"/>
      <c r="AN3" s="829"/>
      <c r="AO3" s="829"/>
    </row>
    <row r="4" spans="1:102" ht="44.05" customHeight="1" x14ac:dyDescent="0.4">
      <c r="A4" s="828"/>
      <c r="B4" s="828"/>
      <c r="C4" s="828"/>
      <c r="D4" s="828"/>
      <c r="E4" s="828"/>
      <c r="F4" s="828"/>
      <c r="G4" s="828"/>
      <c r="H4" s="828"/>
      <c r="I4" s="828"/>
      <c r="J4" s="828"/>
      <c r="K4" s="828"/>
      <c r="L4" s="828"/>
      <c r="M4" s="828"/>
      <c r="N4" s="828"/>
      <c r="O4" s="828"/>
      <c r="P4" s="828"/>
      <c r="Q4" s="828"/>
      <c r="R4" s="828"/>
      <c r="S4" s="828"/>
      <c r="T4" s="390"/>
      <c r="U4">
        <v>1</v>
      </c>
    </row>
    <row r="5" spans="1:102" customFormat="1" ht="17.7" hidden="1" x14ac:dyDescent="0.6">
      <c r="A5" s="250"/>
      <c r="B5" s="250"/>
      <c r="C5" s="405"/>
      <c r="D5" s="405"/>
      <c r="E5" s="405"/>
      <c r="F5" s="405"/>
      <c r="G5" s="405"/>
      <c r="H5" s="405"/>
      <c r="I5" s="141"/>
      <c r="J5" s="141"/>
      <c r="K5" s="405"/>
      <c r="L5" s="405"/>
      <c r="M5" s="405"/>
      <c r="N5" s="405"/>
      <c r="O5" s="405"/>
      <c r="P5" s="305"/>
      <c r="Q5" s="406"/>
      <c r="R5" s="407"/>
      <c r="S5" s="390"/>
      <c r="T5" s="390"/>
    </row>
    <row r="6" spans="1:102" customFormat="1" ht="15" hidden="1" x14ac:dyDescent="0.5">
      <c r="A6" s="408"/>
      <c r="B6" s="409" t="s">
        <v>2</v>
      </c>
      <c r="C6" s="3"/>
      <c r="D6" s="3"/>
      <c r="E6" s="4"/>
      <c r="F6" s="360" t="s">
        <v>3</v>
      </c>
      <c r="G6" s="4"/>
      <c r="H6" s="4"/>
      <c r="I6" s="5">
        <v>2002</v>
      </c>
      <c r="J6" s="5"/>
      <c r="K6" s="410" t="s">
        <v>4</v>
      </c>
      <c r="L6" s="411"/>
      <c r="M6" s="411"/>
      <c r="N6" s="411"/>
      <c r="O6" s="411"/>
      <c r="P6" s="412"/>
      <c r="Q6" s="411"/>
      <c r="R6" s="411"/>
      <c r="S6" s="413"/>
      <c r="T6" s="414"/>
    </row>
    <row r="7" spans="1:102" customFormat="1" ht="15" hidden="1" x14ac:dyDescent="0.5">
      <c r="A7" s="415"/>
      <c r="B7" s="6" t="s">
        <v>5</v>
      </c>
      <c r="C7" s="7"/>
      <c r="D7" s="7"/>
      <c r="E7" s="8"/>
      <c r="F7" s="9" t="s">
        <v>6</v>
      </c>
      <c r="G7" s="416"/>
      <c r="H7" s="416"/>
      <c r="I7" s="10"/>
      <c r="J7" s="10"/>
      <c r="K7" s="417"/>
      <c r="L7" s="417"/>
      <c r="M7" s="417"/>
      <c r="N7" s="417"/>
      <c r="O7" s="417"/>
      <c r="P7" s="418"/>
      <c r="Q7" s="419"/>
      <c r="R7" s="417"/>
      <c r="S7" s="420"/>
      <c r="T7" s="390"/>
    </row>
    <row r="8" spans="1:102" customFormat="1" ht="15" hidden="1" x14ac:dyDescent="0.5">
      <c r="A8" s="421"/>
      <c r="B8" s="11" t="s">
        <v>7</v>
      </c>
      <c r="C8" s="12"/>
      <c r="D8" s="12"/>
      <c r="E8" s="13"/>
      <c r="F8" s="14" t="s">
        <v>6</v>
      </c>
      <c r="G8" s="422"/>
      <c r="H8" s="422"/>
      <c r="I8" s="15"/>
      <c r="J8" s="15"/>
      <c r="K8" s="390"/>
      <c r="L8" s="390"/>
      <c r="M8" s="390"/>
      <c r="N8" s="390"/>
      <c r="O8" s="390"/>
      <c r="P8" s="423"/>
      <c r="Q8" s="414"/>
      <c r="R8" s="390"/>
      <c r="S8" s="424"/>
      <c r="T8" s="390"/>
    </row>
    <row r="9" spans="1:102" s="578" customFormat="1" ht="12.75" customHeight="1" x14ac:dyDescent="0.45">
      <c r="A9" s="706"/>
      <c r="B9" s="706" t="s">
        <v>8</v>
      </c>
      <c r="C9" s="707" t="s">
        <v>9</v>
      </c>
      <c r="D9" s="708"/>
      <c r="E9" s="708"/>
      <c r="F9" s="708"/>
      <c r="G9" s="708"/>
      <c r="H9" s="709" t="s">
        <v>10</v>
      </c>
      <c r="I9" s="710" t="s">
        <v>11</v>
      </c>
      <c r="J9" s="711" t="s">
        <v>12</v>
      </c>
      <c r="K9" s="712"/>
      <c r="L9" s="712"/>
      <c r="M9" s="712"/>
      <c r="N9" s="712"/>
      <c r="O9" s="713"/>
      <c r="P9" s="711" t="s">
        <v>13</v>
      </c>
      <c r="Q9" s="713"/>
      <c r="R9" s="711" t="s">
        <v>14</v>
      </c>
      <c r="S9" s="713"/>
      <c r="T9" s="62"/>
      <c r="U9" s="1">
        <v>1</v>
      </c>
      <c r="V9" s="577"/>
      <c r="W9" s="577"/>
      <c r="X9" s="577"/>
      <c r="Y9" s="577"/>
      <c r="Z9" s="577"/>
      <c r="AA9" s="577"/>
      <c r="AB9" s="577"/>
      <c r="AC9" s="577"/>
      <c r="AD9" s="577"/>
      <c r="AE9" s="577"/>
      <c r="AF9" s="577"/>
      <c r="AG9" s="577"/>
      <c r="AH9" s="577"/>
      <c r="AI9" s="577"/>
      <c r="AJ9" s="577"/>
      <c r="AK9" s="577"/>
      <c r="AL9" s="577"/>
      <c r="AM9" s="577"/>
      <c r="AN9" s="577"/>
      <c r="AO9" s="577"/>
      <c r="AP9" s="577"/>
      <c r="AQ9" s="577"/>
      <c r="AR9" s="577"/>
      <c r="AS9" s="577"/>
      <c r="AT9" s="577"/>
      <c r="AU9" s="577"/>
      <c r="AV9" s="577"/>
      <c r="AW9" s="577"/>
      <c r="AX9" s="577"/>
      <c r="AY9" s="577"/>
      <c r="AZ9" s="577"/>
      <c r="BA9" s="577"/>
      <c r="BB9" s="577"/>
      <c r="BC9" s="577"/>
      <c r="BD9" s="577"/>
      <c r="BE9" s="577"/>
      <c r="BF9" s="577"/>
      <c r="BG9" s="577"/>
      <c r="BH9" s="577"/>
      <c r="BI9" s="577"/>
      <c r="BJ9" s="577"/>
      <c r="BK9" s="577"/>
      <c r="BL9" s="577"/>
      <c r="BM9" s="577"/>
      <c r="BN9" s="577"/>
      <c r="BO9" s="577"/>
      <c r="BP9" s="577"/>
      <c r="BQ9" s="577"/>
      <c r="BR9" s="577"/>
      <c r="BS9" s="577"/>
      <c r="BT9" s="577"/>
      <c r="BU9" s="577"/>
      <c r="BV9" s="577"/>
      <c r="BW9" s="577"/>
      <c r="BX9" s="577"/>
      <c r="BY9" s="577"/>
      <c r="BZ9" s="577"/>
      <c r="CA9" s="577"/>
      <c r="CB9" s="577"/>
      <c r="CC9" s="577"/>
      <c r="CD9" s="577"/>
      <c r="CE9" s="577"/>
      <c r="CF9" s="577"/>
      <c r="CG9" s="577"/>
      <c r="CH9" s="577"/>
      <c r="CI9" s="577"/>
      <c r="CJ9" s="577"/>
      <c r="CK9" s="577"/>
      <c r="CL9" s="577"/>
      <c r="CM9" s="577"/>
      <c r="CN9" s="577"/>
      <c r="CO9" s="577"/>
      <c r="CP9" s="577"/>
      <c r="CQ9" s="577"/>
      <c r="CR9" s="577"/>
      <c r="CS9" s="577"/>
      <c r="CT9" s="577"/>
      <c r="CU9" s="577"/>
      <c r="CV9" s="577"/>
      <c r="CW9" s="577"/>
      <c r="CX9" s="577"/>
    </row>
    <row r="10" spans="1:102" s="578" customFormat="1" ht="12.75" customHeight="1" x14ac:dyDescent="0.45">
      <c r="A10" s="714" t="s">
        <v>15</v>
      </c>
      <c r="B10" s="715" t="s">
        <v>16</v>
      </c>
      <c r="C10" s="716"/>
      <c r="D10" s="717"/>
      <c r="E10" s="717"/>
      <c r="F10" s="717"/>
      <c r="G10" s="717"/>
      <c r="H10" s="718" t="s">
        <v>17</v>
      </c>
      <c r="I10" s="719" t="s">
        <v>18</v>
      </c>
      <c r="J10" s="720" t="s">
        <v>19</v>
      </c>
      <c r="K10" s="721"/>
      <c r="L10" s="721"/>
      <c r="M10" s="721"/>
      <c r="N10" s="721"/>
      <c r="O10" s="722"/>
      <c r="P10" s="720" t="s">
        <v>20</v>
      </c>
      <c r="Q10" s="722"/>
      <c r="R10" s="720" t="s">
        <v>21</v>
      </c>
      <c r="S10" s="722"/>
      <c r="T10" s="62"/>
      <c r="U10" s="1">
        <v>1</v>
      </c>
      <c r="V10" s="577"/>
      <c r="W10" s="577"/>
      <c r="X10" s="577"/>
      <c r="Y10" s="577"/>
      <c r="Z10" s="577"/>
      <c r="AA10" s="577"/>
      <c r="AB10" s="577"/>
      <c r="AC10" s="577"/>
      <c r="AD10" s="577"/>
      <c r="AE10" s="577"/>
      <c r="AF10" s="577"/>
      <c r="AG10" s="577"/>
      <c r="AH10" s="577"/>
      <c r="AI10" s="577"/>
      <c r="AJ10" s="577"/>
      <c r="AK10" s="577"/>
      <c r="AL10" s="577"/>
      <c r="AM10" s="577"/>
      <c r="AN10" s="577"/>
      <c r="AO10" s="577"/>
      <c r="AP10" s="577"/>
      <c r="AQ10" s="577"/>
      <c r="AR10" s="577"/>
      <c r="AS10" s="577"/>
      <c r="AT10" s="577"/>
      <c r="AU10" s="577"/>
      <c r="AV10" s="577"/>
      <c r="AW10" s="577"/>
      <c r="AX10" s="577"/>
      <c r="AY10" s="577"/>
      <c r="AZ10" s="577"/>
      <c r="BA10" s="577"/>
      <c r="BB10" s="577"/>
      <c r="BC10" s="577"/>
      <c r="BD10" s="577"/>
      <c r="BE10" s="577"/>
      <c r="BF10" s="577"/>
      <c r="BG10" s="577"/>
      <c r="BH10" s="577"/>
      <c r="BI10" s="577"/>
      <c r="BJ10" s="577"/>
      <c r="BK10" s="577"/>
      <c r="BL10" s="577"/>
      <c r="BM10" s="577"/>
      <c r="BN10" s="577"/>
      <c r="BO10" s="577"/>
      <c r="BP10" s="577"/>
      <c r="BQ10" s="577"/>
      <c r="BR10" s="577"/>
      <c r="BS10" s="577"/>
      <c r="BT10" s="577"/>
      <c r="BU10" s="577"/>
      <c r="BV10" s="577"/>
      <c r="BW10" s="577"/>
      <c r="BX10" s="577"/>
      <c r="BY10" s="577"/>
      <c r="BZ10" s="577"/>
      <c r="CA10" s="577"/>
      <c r="CB10" s="577"/>
      <c r="CC10" s="577"/>
      <c r="CD10" s="577"/>
      <c r="CE10" s="577"/>
      <c r="CF10" s="577"/>
      <c r="CG10" s="577"/>
      <c r="CH10" s="577"/>
      <c r="CI10" s="577"/>
      <c r="CJ10" s="577"/>
      <c r="CK10" s="577"/>
      <c r="CL10" s="577"/>
      <c r="CM10" s="577"/>
      <c r="CN10" s="577"/>
      <c r="CO10" s="577"/>
      <c r="CP10" s="577"/>
      <c r="CQ10" s="577"/>
      <c r="CR10" s="577"/>
      <c r="CS10" s="577"/>
      <c r="CT10" s="577"/>
      <c r="CU10" s="577"/>
      <c r="CV10" s="577"/>
      <c r="CW10" s="577"/>
      <c r="CX10" s="577"/>
    </row>
    <row r="11" spans="1:102" s="578" customFormat="1" ht="12.75" customHeight="1" thickBot="1" x14ac:dyDescent="0.5">
      <c r="A11" s="723"/>
      <c r="B11" s="723"/>
      <c r="C11" s="724" t="s">
        <v>22</v>
      </c>
      <c r="D11" s="725" t="s">
        <v>523</v>
      </c>
      <c r="E11" s="725" t="s">
        <v>524</v>
      </c>
      <c r="F11" s="725" t="s">
        <v>23</v>
      </c>
      <c r="G11" s="725" t="s">
        <v>24</v>
      </c>
      <c r="H11" s="726" t="s">
        <v>25</v>
      </c>
      <c r="I11" s="727" t="s">
        <v>26</v>
      </c>
      <c r="J11" s="728" t="s">
        <v>22</v>
      </c>
      <c r="K11" s="729" t="s">
        <v>525</v>
      </c>
      <c r="L11" s="729" t="s">
        <v>526</v>
      </c>
      <c r="M11" s="729" t="s">
        <v>23</v>
      </c>
      <c r="N11" s="729" t="s">
        <v>24</v>
      </c>
      <c r="O11" s="729" t="s">
        <v>25</v>
      </c>
      <c r="P11" s="730" t="s">
        <v>27</v>
      </c>
      <c r="Q11" s="731"/>
      <c r="R11" s="730" t="s">
        <v>28</v>
      </c>
      <c r="S11" s="731"/>
      <c r="T11" s="62"/>
      <c r="U11" s="1">
        <v>1</v>
      </c>
      <c r="V11" s="577"/>
      <c r="W11" s="577"/>
      <c r="X11" s="577"/>
      <c r="Y11" s="577"/>
      <c r="Z11" s="577"/>
      <c r="AA11" s="577"/>
      <c r="AB11" s="577"/>
      <c r="AC11" s="577"/>
      <c r="AD11" s="577"/>
      <c r="AE11" s="577"/>
      <c r="AF11" s="577"/>
      <c r="AG11" s="577"/>
      <c r="AH11" s="577"/>
      <c r="AI11" s="577"/>
      <c r="AJ11" s="577"/>
      <c r="AK11" s="577"/>
      <c r="AL11" s="577"/>
      <c r="AM11" s="577"/>
      <c r="AN11" s="577"/>
      <c r="AO11" s="577"/>
      <c r="AP11" s="577"/>
      <c r="AQ11" s="577"/>
      <c r="AR11" s="577"/>
      <c r="AS11" s="577"/>
      <c r="AT11" s="577"/>
      <c r="AU11" s="577"/>
      <c r="AV11" s="577"/>
      <c r="AW11" s="577"/>
      <c r="AX11" s="577"/>
      <c r="AY11" s="577"/>
      <c r="AZ11" s="577"/>
      <c r="BA11" s="577"/>
      <c r="BB11" s="577"/>
      <c r="BC11" s="577"/>
      <c r="BD11" s="577"/>
      <c r="BE11" s="577"/>
      <c r="BF11" s="577"/>
      <c r="BG11" s="577"/>
      <c r="BH11" s="577"/>
      <c r="BI11" s="577"/>
      <c r="BJ11" s="577"/>
      <c r="BK11" s="577"/>
      <c r="BL11" s="577"/>
      <c r="BM11" s="577"/>
      <c r="BN11" s="577"/>
      <c r="BO11" s="577"/>
      <c r="BP11" s="577"/>
      <c r="BQ11" s="577"/>
      <c r="BR11" s="577"/>
      <c r="BS11" s="577"/>
      <c r="BT11" s="577"/>
      <c r="BU11" s="577"/>
      <c r="BV11" s="577"/>
      <c r="BW11" s="577"/>
      <c r="BX11" s="577"/>
      <c r="BY11" s="577"/>
      <c r="BZ11" s="577"/>
      <c r="CA11" s="577"/>
      <c r="CB11" s="577"/>
      <c r="CC11" s="577"/>
      <c r="CD11" s="577"/>
      <c r="CE11" s="577"/>
      <c r="CF11" s="577"/>
      <c r="CG11" s="577"/>
      <c r="CH11" s="577"/>
      <c r="CI11" s="577"/>
      <c r="CJ11" s="577"/>
      <c r="CK11" s="577"/>
      <c r="CL11" s="577"/>
      <c r="CM11" s="577"/>
      <c r="CN11" s="577"/>
      <c r="CO11" s="577"/>
      <c r="CP11" s="577"/>
      <c r="CQ11" s="577"/>
      <c r="CR11" s="577"/>
      <c r="CS11" s="577"/>
      <c r="CT11" s="577"/>
      <c r="CU11" s="577"/>
      <c r="CV11" s="577"/>
      <c r="CW11" s="577"/>
      <c r="CX11" s="577"/>
    </row>
    <row r="12" spans="1:102" s="705" customFormat="1" ht="12.75" customHeight="1" thickTop="1" x14ac:dyDescent="0.45">
      <c r="A12" s="695"/>
      <c r="B12" s="696" t="s">
        <v>29</v>
      </c>
      <c r="C12" s="697"/>
      <c r="D12" s="698"/>
      <c r="E12" s="698"/>
      <c r="F12" s="698"/>
      <c r="G12" s="698"/>
      <c r="H12" s="699"/>
      <c r="I12" s="695"/>
      <c r="J12" s="694"/>
      <c r="K12" s="696"/>
      <c r="L12" s="696"/>
      <c r="M12" s="696"/>
      <c r="N12" s="696"/>
      <c r="O12" s="696"/>
      <c r="P12" s="700"/>
      <c r="Q12" s="701"/>
      <c r="R12" s="702">
        <f>+C69</f>
        <v>1.179560688405797</v>
      </c>
      <c r="S12" s="703" t="s">
        <v>30</v>
      </c>
      <c r="T12" s="425"/>
      <c r="U12" s="1">
        <v>1</v>
      </c>
      <c r="V12" s="704"/>
      <c r="W12" s="704"/>
      <c r="X12" s="704"/>
      <c r="Y12" s="704"/>
      <c r="Z12" s="704"/>
      <c r="AA12" s="704"/>
      <c r="AB12" s="704"/>
      <c r="AC12" s="704"/>
      <c r="AD12" s="704"/>
      <c r="AE12" s="704"/>
      <c r="AF12" s="704"/>
      <c r="AG12" s="704"/>
      <c r="AH12" s="704"/>
      <c r="AI12" s="704"/>
      <c r="AJ12" s="704"/>
      <c r="AK12" s="704"/>
      <c r="AL12" s="704"/>
      <c r="AM12" s="704"/>
      <c r="AN12" s="704"/>
      <c r="AO12" s="704"/>
      <c r="AP12" s="704"/>
      <c r="AQ12" s="704"/>
      <c r="AR12" s="704"/>
      <c r="AS12" s="704"/>
      <c r="AT12" s="704"/>
      <c r="AU12" s="704"/>
      <c r="AV12" s="704"/>
      <c r="AW12" s="704"/>
      <c r="AX12" s="704"/>
      <c r="AY12" s="704"/>
      <c r="AZ12" s="704"/>
      <c r="BA12" s="704"/>
      <c r="BB12" s="704"/>
      <c r="BC12" s="704"/>
      <c r="BD12" s="704"/>
      <c r="BE12" s="704"/>
      <c r="BF12" s="704"/>
      <c r="BG12" s="704"/>
      <c r="BH12" s="704"/>
      <c r="BI12" s="704"/>
      <c r="BJ12" s="704"/>
      <c r="BK12" s="704"/>
      <c r="BL12" s="704"/>
      <c r="BM12" s="704"/>
      <c r="BN12" s="704"/>
      <c r="BO12" s="704"/>
      <c r="BP12" s="704"/>
      <c r="BQ12" s="704"/>
      <c r="BR12" s="704"/>
      <c r="BS12" s="704"/>
      <c r="BT12" s="704"/>
      <c r="BU12" s="704"/>
      <c r="BV12" s="704"/>
      <c r="BW12" s="704"/>
      <c r="BX12" s="704"/>
      <c r="BY12" s="704"/>
      <c r="BZ12" s="704"/>
      <c r="CA12" s="704"/>
      <c r="CB12" s="704"/>
      <c r="CC12" s="704"/>
      <c r="CD12" s="704"/>
      <c r="CE12" s="704"/>
      <c r="CF12" s="704"/>
      <c r="CG12" s="704"/>
      <c r="CH12" s="704"/>
      <c r="CI12" s="704"/>
      <c r="CJ12" s="704"/>
      <c r="CK12" s="704"/>
      <c r="CL12" s="704"/>
      <c r="CM12" s="704"/>
      <c r="CN12" s="704"/>
      <c r="CO12" s="704"/>
      <c r="CP12" s="704"/>
      <c r="CQ12" s="704"/>
      <c r="CR12" s="704"/>
      <c r="CS12" s="704"/>
      <c r="CT12" s="704"/>
      <c r="CU12" s="704"/>
      <c r="CV12" s="704"/>
      <c r="CW12" s="704"/>
      <c r="CX12" s="704"/>
    </row>
    <row r="13" spans="1:102" s="574" customFormat="1" ht="12.75" customHeight="1" x14ac:dyDescent="0.4">
      <c r="A13" s="815">
        <v>1</v>
      </c>
      <c r="B13" s="633" t="str">
        <f>IF(A13&gt;0,VLOOKUP(A13,Düngemittel!$A$3:$J$422,2),"")</f>
        <v>Kalkamonsalpeter 27 % N</v>
      </c>
      <c r="C13" s="812">
        <f>IF($A13&gt;0,VLOOKUP($A13,Düngemittel!$A$3:$J$422,3),"")</f>
        <v>27</v>
      </c>
      <c r="D13" s="634">
        <f>IF($A13&gt;0,VLOOKUP($A13,Düngemittel!$A$3:$J$422,4),"")</f>
        <v>0</v>
      </c>
      <c r="E13" s="634">
        <f>IF($A13&gt;0,VLOOKUP($A13,Düngemittel!$A$3:$J$422,5),"")</f>
        <v>0</v>
      </c>
      <c r="F13" s="634">
        <f>IF($A13&gt;0,VLOOKUP($A13,Düngemittel!$A$3:$J$422,6),"")</f>
        <v>0</v>
      </c>
      <c r="G13" s="634">
        <f>IF($A13&gt;0,VLOOKUP($A13,Düngemittel!$A$3:$J$422,7),"")</f>
        <v>0</v>
      </c>
      <c r="H13" s="635">
        <f>IF($A13&gt;0,VLOOKUP($A13,Düngemittel!$A$3:$J$422,8),"")</f>
        <v>-13</v>
      </c>
      <c r="I13" s="636">
        <f>+VLOOKUP(B13,Preisabruf!$D$1:$G$22,4,0)</f>
        <v>34.35</v>
      </c>
      <c r="J13" s="637">
        <f>((I13-(H13*$H$69))/C13)</f>
        <v>1.3168094135802468</v>
      </c>
      <c r="K13" s="638">
        <f t="shared" ref="K13:K22" si="0">IF(D13,+$D$69,0)</f>
        <v>0</v>
      </c>
      <c r="L13" s="638">
        <f t="shared" ref="L13:L22" si="1">IF(+E13,+$E$69,0)</f>
        <v>0</v>
      </c>
      <c r="M13" s="638">
        <f t="shared" ref="M13:M22" si="2">IF(+F13,+$F$69,0)</f>
        <v>0</v>
      </c>
      <c r="N13" s="638">
        <f>IF(+G13,+$G$69,0)</f>
        <v>0</v>
      </c>
      <c r="O13" s="639">
        <f>IF(+H13,+$H$69,0)</f>
        <v>9.2604166666666668E-2</v>
      </c>
      <c r="P13" s="640">
        <f>IF($A13&gt;0,VLOOKUP($A13,Düngemittel!$A$3:$J$422,9),"")</f>
        <v>0</v>
      </c>
      <c r="Q13" s="641"/>
      <c r="R13" s="642">
        <f>+J13/$R$12*100</f>
        <v>111.63557979877616</v>
      </c>
      <c r="S13" s="807" t="s">
        <v>31</v>
      </c>
      <c r="T13" s="390"/>
      <c r="U13">
        <f>+IF(I13&lt;&gt;0,1,0)</f>
        <v>1</v>
      </c>
    </row>
    <row r="14" spans="1:102" s="574" customFormat="1" ht="12.75" customHeight="1" x14ac:dyDescent="0.4">
      <c r="A14" s="633">
        <v>3</v>
      </c>
      <c r="B14" s="633" t="str">
        <f>IF(A14&gt;0,VLOOKUP(A14,Düngemittel!$A$3:$J$422,2),"")</f>
        <v>Harnstoff, 46 % N, stabilisiert</v>
      </c>
      <c r="C14" s="813">
        <f>IF($A14&gt;0,VLOOKUP($A14,Düngemittel!$A$3:$J$422,3),"")</f>
        <v>46</v>
      </c>
      <c r="D14" s="644">
        <f>IF($A14&gt;0,VLOOKUP($A14,Düngemittel!$A$3:$J$422,4),"")</f>
        <v>0</v>
      </c>
      <c r="E14" s="644">
        <f>IF($A14&gt;0,VLOOKUP($A14,Düngemittel!$A$3:$J$422,5),"")</f>
        <v>0</v>
      </c>
      <c r="F14" s="644">
        <f>IF($A14&gt;0,VLOOKUP($A14,Düngemittel!$A$3:$J$422,6),"")</f>
        <v>0</v>
      </c>
      <c r="G14" s="644">
        <f>IF($A14&gt;0,VLOOKUP($A14,Düngemittel!$A$3:$J$422,7),"")</f>
        <v>0</v>
      </c>
      <c r="H14" s="645">
        <f>IF($A14&gt;0,VLOOKUP($A14,Düngemittel!$A$3:$J$422,8),"")</f>
        <v>-46</v>
      </c>
      <c r="I14" s="636">
        <f>+VLOOKUP(B14,Preisabruf!$D$1:$G$22,4,0)</f>
        <v>50</v>
      </c>
      <c r="J14" s="646">
        <f>((I14-(H14*$H$69))/C14)</f>
        <v>1.179560688405797</v>
      </c>
      <c r="K14" s="639">
        <f t="shared" si="0"/>
        <v>0</v>
      </c>
      <c r="L14" s="639">
        <f t="shared" si="1"/>
        <v>0</v>
      </c>
      <c r="M14" s="639">
        <f t="shared" si="2"/>
        <v>0</v>
      </c>
      <c r="N14" s="639">
        <f>IF(+G14,+$G$69,0)</f>
        <v>0</v>
      </c>
      <c r="O14" s="639">
        <f>IF(+H14,+$H$69,0)</f>
        <v>9.2604166666666668E-2</v>
      </c>
      <c r="P14" s="640">
        <f>IF($A14&gt;0,VLOOKUP($A14,Düngemittel!$A$3:$J$422,9),"")</f>
        <v>0</v>
      </c>
      <c r="Q14" s="647"/>
      <c r="R14" s="648">
        <f>+J14/$R$12*100</f>
        <v>100</v>
      </c>
      <c r="S14" s="808" t="s">
        <v>31</v>
      </c>
      <c r="T14" s="390"/>
      <c r="U14">
        <f t="shared" ref="U14:U67" si="3">+IF(I14&lt;&gt;0,1,0)</f>
        <v>1</v>
      </c>
    </row>
    <row r="15" spans="1:102" s="574" customFormat="1" ht="12.75" customHeight="1" x14ac:dyDescent="0.4">
      <c r="A15" s="816">
        <f>+Düngemittel!A7</f>
        <v>5</v>
      </c>
      <c r="B15" s="633" t="str">
        <f>IF(A15&gt;0,VLOOKUP(A15,Düngemittel!$A$3:$J$422,2),"")</f>
        <v>Ammonnitrat-Harnstoff-Lösung AHL 28% N</v>
      </c>
      <c r="C15" s="813">
        <f>IF($A15&gt;0,VLOOKUP($A15,Düngemittel!$A$3:$J$422,3),"")</f>
        <v>28</v>
      </c>
      <c r="D15" s="644">
        <f>IF($A15&gt;0,VLOOKUP($A15,Düngemittel!$A$3:$J$422,4),"")</f>
        <v>0</v>
      </c>
      <c r="E15" s="644">
        <f>IF($A15&gt;0,VLOOKUP($A15,Düngemittel!$A$3:$J$422,5),"")</f>
        <v>0</v>
      </c>
      <c r="F15" s="644">
        <f>IF($A15&gt;0,VLOOKUP($A15,Düngemittel!$A$3:$J$422,6),"")</f>
        <v>0</v>
      </c>
      <c r="G15" s="644">
        <f>IF($A15&gt;0,VLOOKUP($A15,Düngemittel!$A$3:$J$422,7),"")</f>
        <v>0</v>
      </c>
      <c r="H15" s="645">
        <f>IF($A15&gt;0,VLOOKUP($A15,Düngemittel!$A$3:$J$422,8),"")</f>
        <v>-28</v>
      </c>
      <c r="I15" s="636">
        <f>+VLOOKUP(B15,Preisabruf!$D$1:$G$22,4,0)</f>
        <v>34.25</v>
      </c>
      <c r="J15" s="637">
        <f>((I15-(H15*$H$69))/C15)</f>
        <v>1.3158184523809524</v>
      </c>
      <c r="K15" s="639">
        <f t="shared" si="0"/>
        <v>0</v>
      </c>
      <c r="L15" s="639">
        <f t="shared" si="1"/>
        <v>0</v>
      </c>
      <c r="M15" s="639">
        <f t="shared" si="2"/>
        <v>0</v>
      </c>
      <c r="N15" s="639">
        <f t="shared" ref="N15:N29" si="4">IF(+G15,+$G$69,0)</f>
        <v>0</v>
      </c>
      <c r="O15" s="639">
        <f t="shared" ref="O15:O29" si="5">IF(+H15,+$H$69,0)</f>
        <v>9.2604166666666668E-2</v>
      </c>
      <c r="P15" s="640">
        <f>IF($A15&gt;0,VLOOKUP($A15,Düngemittel!$A$3:$J$422,9),"")</f>
        <v>0</v>
      </c>
      <c r="Q15" s="647"/>
      <c r="R15" s="648">
        <f t="shared" ref="R15:R22" si="6">+J15/$R$12*100</f>
        <v>111.55156875898524</v>
      </c>
      <c r="S15" s="808" t="s">
        <v>31</v>
      </c>
      <c r="T15" s="390"/>
      <c r="U15">
        <f t="shared" si="3"/>
        <v>1</v>
      </c>
    </row>
    <row r="16" spans="1:102" s="574" customFormat="1" ht="12.75" customHeight="1" x14ac:dyDescent="0.4">
      <c r="A16" s="633">
        <v>105</v>
      </c>
      <c r="B16" s="633" t="str">
        <f>IF(A16&gt;0,VLOOKUP(A16,Düngemittel!$A$3:$J$422,2),"")</f>
        <v>Piamon</v>
      </c>
      <c r="C16" s="813">
        <f>IF($A16&gt;0,VLOOKUP($A16,Düngemittel!$A$3:$J$422,3),"")</f>
        <v>33</v>
      </c>
      <c r="D16" s="644">
        <f>IF($A16&gt;0,VLOOKUP($A16,Düngemittel!$A$3:$J$422,4),"")</f>
        <v>0</v>
      </c>
      <c r="E16" s="644">
        <f>IF($A16&gt;0,VLOOKUP($A16,Düngemittel!$A$3:$J$422,5),"")</f>
        <v>0</v>
      </c>
      <c r="F16" s="644">
        <f>IF($A16&gt;0,VLOOKUP($A16,Düngemittel!$A$3:$J$422,6),"")</f>
        <v>0</v>
      </c>
      <c r="G16" s="644">
        <f>IF($A16&gt;0,VLOOKUP($A16,Düngemittel!$A$3:$J$422,7),"")</f>
        <v>12</v>
      </c>
      <c r="H16" s="645">
        <f>IF($A16&gt;0,VLOOKUP($A16,Düngemittel!$A$3:$J$422,8),"")</f>
        <v>-40</v>
      </c>
      <c r="I16" s="636">
        <f>+VLOOKUP(B16,Preisabruf!$D$1:$G$22,4,0)</f>
        <v>44.75</v>
      </c>
      <c r="J16" s="637">
        <f>((I16-(H16*$H$69)-(G16*$G$69))/C16)</f>
        <v>1.2400764437856828</v>
      </c>
      <c r="K16" s="639">
        <f t="shared" si="0"/>
        <v>0</v>
      </c>
      <c r="L16" s="639">
        <f t="shared" si="1"/>
        <v>0</v>
      </c>
      <c r="M16" s="639">
        <f t="shared" si="2"/>
        <v>0</v>
      </c>
      <c r="N16" s="639">
        <f t="shared" si="4"/>
        <v>0.62763700181159443</v>
      </c>
      <c r="O16" s="639">
        <f t="shared" si="5"/>
        <v>9.2604166666666668E-2</v>
      </c>
      <c r="P16" s="640">
        <f>IF($A16&gt;0,VLOOKUP($A16,Düngemittel!$A$3:$J$422,9),"")</f>
        <v>0</v>
      </c>
      <c r="Q16" s="647"/>
      <c r="R16" s="648">
        <f t="shared" si="6"/>
        <v>105.13036386976191</v>
      </c>
      <c r="S16" s="808" t="s">
        <v>31</v>
      </c>
      <c r="T16" s="390"/>
      <c r="U16">
        <f t="shared" si="3"/>
        <v>1</v>
      </c>
    </row>
    <row r="17" spans="1:21" s="574" customFormat="1" ht="12.75" customHeight="1" x14ac:dyDescent="0.4">
      <c r="A17" s="633">
        <f>+Düngemittel!A10</f>
        <v>8</v>
      </c>
      <c r="B17" s="633" t="str">
        <f>IF(A17&gt;0,VLOOKUP(A17,Düngemittel!$A$3:$J$422,2),"")</f>
        <v>Ammonsulfatsalpeter 26% N + 13 %S</v>
      </c>
      <c r="C17" s="813">
        <f>IF($A17&gt;0,VLOOKUP($A17,Düngemittel!$A$3:$J$422,3),"")</f>
        <v>26</v>
      </c>
      <c r="D17" s="644">
        <f>IF($A17&gt;0,VLOOKUP($A17,Düngemittel!$A$3:$J$422,4),"")</f>
        <v>0</v>
      </c>
      <c r="E17" s="644">
        <f>IF($A17&gt;0,VLOOKUP($A17,Düngemittel!$A$3:$J$422,5),"")</f>
        <v>0</v>
      </c>
      <c r="F17" s="644">
        <f>IF($A17&gt;0,VLOOKUP($A17,Düngemittel!$A$3:$J$422,6),"")</f>
        <v>0</v>
      </c>
      <c r="G17" s="644">
        <f>IF($A17&gt;0,VLOOKUP($A17,Düngemittel!$A$3:$J$422,7),"")</f>
        <v>14</v>
      </c>
      <c r="H17" s="645">
        <f>IF($A17&gt;0,VLOOKUP($A17,Düngemittel!$A$3:$J$422,8),"")</f>
        <v>-51</v>
      </c>
      <c r="I17" s="636">
        <f>+VLOOKUP(B17,Preisabruf!$D$1:$G$22,4,0)</f>
        <v>41.75</v>
      </c>
      <c r="J17" s="637">
        <f>((I17-(H17*$H$69))/C17)</f>
        <v>1.7874158653846155</v>
      </c>
      <c r="K17" s="639">
        <f t="shared" si="0"/>
        <v>0</v>
      </c>
      <c r="L17" s="639">
        <f t="shared" si="1"/>
        <v>0</v>
      </c>
      <c r="M17" s="639">
        <f t="shared" si="2"/>
        <v>0</v>
      </c>
      <c r="N17" s="639">
        <f t="shared" si="4"/>
        <v>0.62763700181159443</v>
      </c>
      <c r="O17" s="639">
        <f t="shared" si="5"/>
        <v>9.2604166666666668E-2</v>
      </c>
      <c r="P17" s="640">
        <f>IF($A17&gt;0,VLOOKUP($A17,Düngemittel!$A$3:$J$422,9),"")</f>
        <v>0</v>
      </c>
      <c r="Q17" s="647"/>
      <c r="R17" s="648">
        <f t="shared" si="6"/>
        <v>151.53233597504411</v>
      </c>
      <c r="S17" s="808" t="s">
        <v>31</v>
      </c>
      <c r="T17" s="390"/>
      <c r="U17">
        <f t="shared" si="3"/>
        <v>1</v>
      </c>
    </row>
    <row r="18" spans="1:21" s="574" customFormat="1" ht="12.75" customHeight="1" x14ac:dyDescent="0.4">
      <c r="A18" s="816">
        <f>+Düngemittel!A11</f>
        <v>9</v>
      </c>
      <c r="B18" s="633" t="str">
        <f>IF(A18&gt;0,VLOOKUP(A18,Düngemittel!$A$3:$J$422,2),"")</f>
        <v>Schwefelsaures Amoniak 21% N + 24% S,</v>
      </c>
      <c r="C18" s="813">
        <f>IF($A18&gt;0,VLOOKUP($A18,Düngemittel!$A$3:$J$422,3),"")</f>
        <v>21</v>
      </c>
      <c r="D18" s="644">
        <f>IF($A18&gt;0,VLOOKUP($A18,Düngemittel!$A$3:$J$422,4),"")</f>
        <v>0</v>
      </c>
      <c r="E18" s="644">
        <f>IF($A18&gt;0,VLOOKUP($A18,Düngemittel!$A$3:$J$422,5),"")</f>
        <v>0</v>
      </c>
      <c r="F18" s="644">
        <f>IF($A18&gt;0,VLOOKUP($A18,Düngemittel!$A$3:$J$422,6),"")</f>
        <v>0</v>
      </c>
      <c r="G18" s="644">
        <f>IF($A18&gt;0,VLOOKUP($A18,Düngemittel!$A$3:$J$422,7),"")</f>
        <v>24</v>
      </c>
      <c r="H18" s="645">
        <f>IF($A18&gt;0,VLOOKUP($A18,Düngemittel!$A$3:$J$422,8),"")</f>
        <v>-63</v>
      </c>
      <c r="I18" s="636">
        <f>+VLOOKUP(B18,Preisabruf!$D$1:$G$22,4,0)</f>
        <v>34</v>
      </c>
      <c r="J18" s="637">
        <f>((I18-(H18*$H$69)-(G18*$G$69))/C18)</f>
        <v>1.179560688405797</v>
      </c>
      <c r="K18" s="639">
        <f t="shared" si="0"/>
        <v>0</v>
      </c>
      <c r="L18" s="639">
        <f t="shared" si="1"/>
        <v>0</v>
      </c>
      <c r="M18" s="639">
        <f t="shared" si="2"/>
        <v>0</v>
      </c>
      <c r="N18" s="639">
        <f t="shared" si="4"/>
        <v>0.62763700181159443</v>
      </c>
      <c r="O18" s="639">
        <f t="shared" si="5"/>
        <v>9.2604166666666668E-2</v>
      </c>
      <c r="P18" s="640">
        <f>IF($A18&gt;0,VLOOKUP($A18,Düngemittel!$A$3:$J$422,9),"")</f>
        <v>0</v>
      </c>
      <c r="Q18" s="647"/>
      <c r="R18" s="648">
        <f t="shared" si="6"/>
        <v>100</v>
      </c>
      <c r="S18" s="808" t="s">
        <v>31</v>
      </c>
      <c r="T18" s="390"/>
      <c r="U18">
        <f t="shared" si="3"/>
        <v>1</v>
      </c>
    </row>
    <row r="19" spans="1:21" s="574" customFormat="1" ht="12.75" customHeight="1" thickBot="1" x14ac:dyDescent="0.45">
      <c r="A19" s="817">
        <f>+Düngemittel!A4</f>
        <v>2</v>
      </c>
      <c r="B19" s="651" t="str">
        <f>IF(A19&gt;0,VLOOKUP(A19,Düngemittel!$A$3:$J$422,2),"")</f>
        <v>Sulfan 24%N + 6%S</v>
      </c>
      <c r="C19" s="814">
        <f>IF($A19&gt;0,VLOOKUP($A19,Düngemittel!$A$3:$J$422,3),"")</f>
        <v>24</v>
      </c>
      <c r="D19" s="653">
        <f>IF($A19&gt;0,VLOOKUP($A19,Düngemittel!$A$3:$J$422,4),"")</f>
        <v>0</v>
      </c>
      <c r="E19" s="653">
        <f>IF($A19&gt;0,VLOOKUP($A19,Düngemittel!$A$3:$J$422,5),"")</f>
        <v>0</v>
      </c>
      <c r="F19" s="653">
        <f>IF($A19&gt;0,VLOOKUP($A19,Düngemittel!$A$3:$J$422,6),"")</f>
        <v>0</v>
      </c>
      <c r="G19" s="653">
        <f>IF($A19&gt;0,VLOOKUP($A19,Düngemittel!$A$3:$J$422,7),"")</f>
        <v>6</v>
      </c>
      <c r="H19" s="654">
        <f>IF($A19&gt;0,VLOOKUP($A19,Düngemittel!$A$3:$J$422,8),"")</f>
        <v>-15</v>
      </c>
      <c r="I19" s="655">
        <f>+VLOOKUP(B19,Preisabruf!$D$1:$G$22,4,0)</f>
        <v>38</v>
      </c>
      <c r="J19" s="656">
        <f>IF(I19=0,0,(+I19-P19-(D19*$D$69)-(E19*$E$69)-(F19*$F$69)-(G19*$G$69)-(H19*$H$69))/C19)</f>
        <v>1.4843016870471013</v>
      </c>
      <c r="K19" s="657">
        <f t="shared" si="0"/>
        <v>0</v>
      </c>
      <c r="L19" s="657">
        <f t="shared" si="1"/>
        <v>0</v>
      </c>
      <c r="M19" s="657">
        <f t="shared" si="2"/>
        <v>0</v>
      </c>
      <c r="N19" s="657">
        <f t="shared" si="4"/>
        <v>0.62763700181159443</v>
      </c>
      <c r="O19" s="657">
        <f t="shared" si="5"/>
        <v>9.2604166666666668E-2</v>
      </c>
      <c r="P19" s="658">
        <f>IF($A19&gt;0,VLOOKUP($A19,Düngemittel!$A$3:$J$422,9),"")</f>
        <v>0</v>
      </c>
      <c r="Q19" s="659"/>
      <c r="R19" s="660">
        <f t="shared" si="6"/>
        <v>125.83512672443914</v>
      </c>
      <c r="S19" s="809" t="s">
        <v>31</v>
      </c>
      <c r="T19" s="390"/>
      <c r="U19">
        <f t="shared" si="3"/>
        <v>1</v>
      </c>
    </row>
    <row r="20" spans="1:21" customFormat="1" ht="12.75" hidden="1" customHeight="1" thickTop="1" x14ac:dyDescent="0.4">
      <c r="A20" s="395">
        <v>0</v>
      </c>
      <c r="B20" s="394" t="str">
        <f>IF(A20&gt;0,VLOOKUP(A20,Düngemittel!$A$3:$J$422,2),"")</f>
        <v/>
      </c>
      <c r="C20" s="396" t="str">
        <f>IF($A20&gt;0,VLOOKUP($A20,Düngemittel!$A$3:$J$422,3),"")</f>
        <v/>
      </c>
      <c r="D20" s="397" t="str">
        <f>IF($A20&gt;0,VLOOKUP($A20,Düngemittel!$A$3:$J$422,4),"")</f>
        <v/>
      </c>
      <c r="E20" s="397" t="str">
        <f>IF($A20&gt;0,VLOOKUP($A20,Düngemittel!$A$3:$J$422,5),"")</f>
        <v/>
      </c>
      <c r="F20" s="397" t="str">
        <f>IF($A20&gt;0,VLOOKUP($A20,Düngemittel!$A$3:$J$422,6),"")</f>
        <v/>
      </c>
      <c r="G20" s="397" t="str">
        <f>IF($A20&gt;0,VLOOKUP($A20,Düngemittel!$A$3:$J$422,7),"")</f>
        <v/>
      </c>
      <c r="H20" s="428" t="str">
        <f>IF($A20&gt;0,VLOOKUP($A20,Düngemittel!$A$3:$J$422,8),"")</f>
        <v/>
      </c>
      <c r="I20" s="393" t="e">
        <f>+VLOOKUP(B20,Preisabruf1!$D$1:$G$20,4,0)</f>
        <v>#N/A</v>
      </c>
      <c r="J20" s="361" t="e">
        <f>IF(I20=0,0,(+I20-P20-(D20*$D$69)-(E20*$E$69)-(F20*$F$69)-(G20*$G$69)-(H20*$H$69))/C20)</f>
        <v>#N/A</v>
      </c>
      <c r="K20" s="404" t="e">
        <f t="shared" si="0"/>
        <v>#VALUE!</v>
      </c>
      <c r="L20" s="404" t="e">
        <f t="shared" si="1"/>
        <v>#VALUE!</v>
      </c>
      <c r="M20" s="404" t="e">
        <f t="shared" si="2"/>
        <v>#VALUE!</v>
      </c>
      <c r="N20" s="404" t="e">
        <f t="shared" si="4"/>
        <v>#VALUE!</v>
      </c>
      <c r="O20" s="404" t="e">
        <f t="shared" si="5"/>
        <v>#VALUE!</v>
      </c>
      <c r="P20" s="426" t="str">
        <f>IF($A20&gt;0,VLOOKUP($A20,Düngemittel!$A$3:$J$422,9),"")</f>
        <v/>
      </c>
      <c r="Q20" s="429"/>
      <c r="R20" s="430" t="e">
        <f t="shared" si="6"/>
        <v>#N/A</v>
      </c>
      <c r="S20" s="424" t="s">
        <v>31</v>
      </c>
      <c r="T20" s="390"/>
      <c r="U20" t="e">
        <f t="shared" si="3"/>
        <v>#N/A</v>
      </c>
    </row>
    <row r="21" spans="1:21" customFormat="1" ht="12.75" hidden="1" customHeight="1" x14ac:dyDescent="0.4">
      <c r="A21" s="398">
        <v>0</v>
      </c>
      <c r="B21" s="394" t="str">
        <f>IF(A21&gt;0,VLOOKUP(A21,Düngemittel!$A$3:$J$422,2),"")</f>
        <v/>
      </c>
      <c r="C21" s="396" t="str">
        <f>IF($A21&gt;0,VLOOKUP($A21,Düngemittel!$A$3:$J$422,3),"")</f>
        <v/>
      </c>
      <c r="D21" s="397" t="str">
        <f>IF($A21&gt;0,VLOOKUP($A21,Düngemittel!$A$3:$J$422,4),"")</f>
        <v/>
      </c>
      <c r="E21" s="397" t="str">
        <f>IF($A21&gt;0,VLOOKUP($A21,Düngemittel!$A$3:$J$422,5),"")</f>
        <v/>
      </c>
      <c r="F21" s="397" t="str">
        <f>IF($A21&gt;0,VLOOKUP($A21,Düngemittel!$A$3:$J$422,6),"")</f>
        <v/>
      </c>
      <c r="G21" s="397" t="str">
        <f>IF($A21&gt;0,VLOOKUP($A21,Düngemittel!$A$3:$J$422,7),"")</f>
        <v/>
      </c>
      <c r="H21" s="428" t="str">
        <f>IF($A21&gt;0,VLOOKUP($A21,Düngemittel!$A$3:$J$422,8),"")</f>
        <v/>
      </c>
      <c r="I21" s="393" t="e">
        <f>+VLOOKUP(B21,Preisabruf1!$D$1:$G$20,4,0)</f>
        <v>#N/A</v>
      </c>
      <c r="J21" s="361" t="e">
        <f>IF(I21=0,0,(+I21-P21-(D21*$D$69)-(E21*$E$69)-(F21*$F$69)-(G21*$G$69)-(H21*$H$69))/C21)</f>
        <v>#N/A</v>
      </c>
      <c r="K21" s="404" t="e">
        <f t="shared" si="0"/>
        <v>#VALUE!</v>
      </c>
      <c r="L21" s="404" t="e">
        <f t="shared" si="1"/>
        <v>#VALUE!</v>
      </c>
      <c r="M21" s="404" t="e">
        <f t="shared" si="2"/>
        <v>#VALUE!</v>
      </c>
      <c r="N21" s="404" t="e">
        <f t="shared" si="4"/>
        <v>#VALUE!</v>
      </c>
      <c r="O21" s="404" t="e">
        <f t="shared" si="5"/>
        <v>#VALUE!</v>
      </c>
      <c r="P21" s="426" t="str">
        <f>IF($A21&gt;0,VLOOKUP($A21,Düngemittel!$A$3:$J$422,9),"")</f>
        <v/>
      </c>
      <c r="Q21" s="429"/>
      <c r="R21" s="430" t="e">
        <f t="shared" si="6"/>
        <v>#N/A</v>
      </c>
      <c r="S21" s="424" t="s">
        <v>31</v>
      </c>
      <c r="T21" s="390"/>
      <c r="U21" t="e">
        <f t="shared" si="3"/>
        <v>#N/A</v>
      </c>
    </row>
    <row r="22" spans="1:21" customFormat="1" ht="12.75" hidden="1" customHeight="1" thickBot="1" x14ac:dyDescent="0.45">
      <c r="A22" s="399">
        <v>0</v>
      </c>
      <c r="B22" s="400" t="str">
        <f>IF(A22&gt;0,VLOOKUP(A22,Düngemittel!$A$3:$J$422,2),"")</f>
        <v/>
      </c>
      <c r="C22" s="401" t="str">
        <f>IF($A22&gt;0,VLOOKUP($A22,Düngemittel!$A$3:$J$422,3),"")</f>
        <v/>
      </c>
      <c r="D22" s="402" t="str">
        <f>IF($A22&gt;0,VLOOKUP($A22,Düngemittel!$A$3:$J$422,4),"")</f>
        <v/>
      </c>
      <c r="E22" s="402" t="str">
        <f>IF($A22&gt;0,VLOOKUP($A22,Düngemittel!$A$3:$J$422,5),"")</f>
        <v/>
      </c>
      <c r="F22" s="402" t="str">
        <f>IF($A22&gt;0,VLOOKUP($A22,Düngemittel!$A$3:$J$422,6),"")</f>
        <v/>
      </c>
      <c r="G22" s="402" t="str">
        <f>IF($A22&gt;0,VLOOKUP($A22,Düngemittel!$A$3:$J$422,7),"")</f>
        <v/>
      </c>
      <c r="H22" s="431" t="str">
        <f>IF($A22&gt;0,VLOOKUP($A22,Düngemittel!$A$3:$J$422,8),"")</f>
        <v/>
      </c>
      <c r="I22" s="437" t="e">
        <f>+VLOOKUP(B22,Preisabruf1!$D$1:$G$20,4,0)</f>
        <v>#N/A</v>
      </c>
      <c r="J22" s="438" t="e">
        <f>((I22-(H22*$H$69)-(G22*$G$69))/C22)</f>
        <v>#N/A</v>
      </c>
      <c r="K22" s="432" t="e">
        <f t="shared" si="0"/>
        <v>#VALUE!</v>
      </c>
      <c r="L22" s="432" t="e">
        <f t="shared" si="1"/>
        <v>#VALUE!</v>
      </c>
      <c r="M22" s="432" t="e">
        <f t="shared" si="2"/>
        <v>#VALUE!</v>
      </c>
      <c r="N22" s="432" t="e">
        <f t="shared" si="4"/>
        <v>#VALUE!</v>
      </c>
      <c r="O22" s="432" t="e">
        <f t="shared" si="5"/>
        <v>#VALUE!</v>
      </c>
      <c r="P22" s="433" t="str">
        <f>IF($A22&gt;0,VLOOKUP($A22,Düngemittel!$A$3:$J$422,9),"")</f>
        <v/>
      </c>
      <c r="Q22" s="434"/>
      <c r="R22" s="435" t="e">
        <f t="shared" si="6"/>
        <v>#N/A</v>
      </c>
      <c r="S22" s="436" t="s">
        <v>31</v>
      </c>
      <c r="T22" s="390"/>
      <c r="U22" t="e">
        <f t="shared" si="3"/>
        <v>#N/A</v>
      </c>
    </row>
    <row r="23" spans="1:21" ht="12.75" customHeight="1" thickTop="1" x14ac:dyDescent="0.4">
      <c r="A23" s="732"/>
      <c r="B23" s="754" t="s">
        <v>527</v>
      </c>
      <c r="C23" s="697"/>
      <c r="D23" s="698"/>
      <c r="E23" s="698"/>
      <c r="F23" s="698"/>
      <c r="G23" s="698"/>
      <c r="H23" s="733"/>
      <c r="I23" s="734"/>
      <c r="J23" s="735"/>
      <c r="K23" s="736"/>
      <c r="L23" s="736"/>
      <c r="M23" s="736"/>
      <c r="N23" s="736"/>
      <c r="O23" s="736"/>
      <c r="P23" s="755"/>
      <c r="Q23" s="756"/>
      <c r="R23" s="757">
        <f>+D69</f>
        <v>1.117105781348456</v>
      </c>
      <c r="S23" s="699" t="s">
        <v>30</v>
      </c>
      <c r="T23" s="439"/>
      <c r="U23">
        <v>1</v>
      </c>
    </row>
    <row r="24" spans="1:21" s="574" customFormat="1" ht="12.75" customHeight="1" x14ac:dyDescent="0.4">
      <c r="A24" s="661">
        <v>15</v>
      </c>
      <c r="B24" s="633" t="str">
        <f>IF(A24&gt;0,VLOOKUP(A24,Düngemittel!$A$3:$J$1101,2),"")</f>
        <v>Diamonphosphat, 18% N + 46 % P2O5</v>
      </c>
      <c r="C24" s="662">
        <f>IF($A24&gt;0,VLOOKUP($A24,Düngemittel!$A$3:$J$422,3),"")</f>
        <v>18</v>
      </c>
      <c r="D24" s="663">
        <f>IF($A24&gt;0,VLOOKUP($A24,Düngemittel!$A$3:$J$422,4),"")</f>
        <v>46</v>
      </c>
      <c r="E24" s="663">
        <f>IF($A24&gt;0,VLOOKUP($A24,Düngemittel!$A$3:$J$422,5),"")</f>
        <v>0</v>
      </c>
      <c r="F24" s="663">
        <f>IF($A24&gt;0,VLOOKUP($A24,Düngemittel!$A$3:$J$422,6),"")</f>
        <v>0</v>
      </c>
      <c r="G24" s="663">
        <f>IF($A24&gt;0,VLOOKUP($A24,Düngemittel!$A$3:$J$422,7),"")</f>
        <v>0</v>
      </c>
      <c r="H24" s="645">
        <f>IF($A24&gt;0,VLOOKUP($A24,Düngemittel!$A$3:$J$422,8),"")</f>
        <v>-38</v>
      </c>
      <c r="I24" s="636">
        <f>+VLOOKUP(B24,Preisabruf!$D$1:$G$22,4,0)</f>
        <v>69.099999999999994</v>
      </c>
      <c r="J24" s="664">
        <f>IF(C24,+$C$69,0)</f>
        <v>1.179560688405797</v>
      </c>
      <c r="K24" s="818">
        <f>((I24+(-H24*$H$69)-(C24*$C$69)-(E24*$E$69)-(F24*$F$69)-(G24*$G$69))/D24)</f>
        <v>1.117105781348456</v>
      </c>
      <c r="L24" s="638">
        <f t="shared" ref="L24:L36" si="7">IF(E24,+$E$69,0)</f>
        <v>0</v>
      </c>
      <c r="M24" s="638">
        <f t="shared" ref="M24:M36" si="8">IF(F24,+$F$69,0)</f>
        <v>0</v>
      </c>
      <c r="N24" s="639">
        <f t="shared" si="4"/>
        <v>0</v>
      </c>
      <c r="O24" s="639">
        <f t="shared" si="5"/>
        <v>9.2604166666666668E-2</v>
      </c>
      <c r="P24" s="640">
        <f>IF($A24&gt;0,VLOOKUP($A24,Düngemittel!$A$3:$J$422,9),"")</f>
        <v>0</v>
      </c>
      <c r="Q24" s="641"/>
      <c r="R24" s="642">
        <f>+K24/$R$23*100</f>
        <v>100</v>
      </c>
      <c r="S24" s="807" t="s">
        <v>31</v>
      </c>
      <c r="T24" s="390"/>
      <c r="U24">
        <f t="shared" si="3"/>
        <v>1</v>
      </c>
    </row>
    <row r="25" spans="1:21" s="574" customFormat="1" ht="12.75" customHeight="1" thickBot="1" x14ac:dyDescent="0.45">
      <c r="A25" s="650">
        <v>45</v>
      </c>
      <c r="B25" s="651" t="str">
        <f>IF(A25&gt;0,VLOOKUP(A25,Düngemittel!$A$3:$J$1101,2),"")</f>
        <v>Triple-Phosphat, 46 % P2O5</v>
      </c>
      <c r="C25" s="652">
        <f>IF($A25&gt;0,VLOOKUP($A25,Düngemittel!$A$3:$J$422,3),"")</f>
        <v>0</v>
      </c>
      <c r="D25" s="653">
        <f>IF($A25&gt;0,VLOOKUP($A25,Düngemittel!$A$3:$J$422,4),"")</f>
        <v>45</v>
      </c>
      <c r="E25" s="653">
        <f>IF($A25&gt;0,VLOOKUP($A25,Düngemittel!$A$3:$J$422,5),"")</f>
        <v>0</v>
      </c>
      <c r="F25" s="653">
        <f>IF($A25&gt;0,VLOOKUP($A25,Düngemittel!$A$3:$J$422,6),"")</f>
        <v>0</v>
      </c>
      <c r="G25" s="653">
        <f>IF($A25&gt;0,VLOOKUP($A25,Düngemittel!$A$3:$J$422,7),"")</f>
        <v>0</v>
      </c>
      <c r="H25" s="654">
        <f>IF($A25&gt;0,VLOOKUP($A25,Düngemittel!$A$3:$J$422,8),"")</f>
        <v>-3</v>
      </c>
      <c r="I25" s="655">
        <f>+VLOOKUP(B25,Preisabruf!$D$1:$G$22,4,0)</f>
        <v>56.5</v>
      </c>
      <c r="J25" s="656">
        <f t="shared" ref="J25:J36" si="9">IF(C25,+$C$69,0)</f>
        <v>0</v>
      </c>
      <c r="K25" s="819">
        <f t="shared" ref="K25:K31" si="10">((I25+(-H25*$H$69)-(C25*$C$69)-(E25*$E$69)-(F25*$F$69)-(G25*$G$69))/D25)</f>
        <v>1.2617291666666668</v>
      </c>
      <c r="L25" s="657">
        <f t="shared" si="7"/>
        <v>0</v>
      </c>
      <c r="M25" s="657">
        <f t="shared" si="8"/>
        <v>0</v>
      </c>
      <c r="N25" s="657">
        <f t="shared" si="4"/>
        <v>0</v>
      </c>
      <c r="O25" s="657">
        <f t="shared" si="5"/>
        <v>9.2604166666666668E-2</v>
      </c>
      <c r="P25" s="658">
        <f>IF($A25&gt;0,VLOOKUP($A25,Düngemittel!$A$3:$J$422,9),"")</f>
        <v>0</v>
      </c>
      <c r="Q25" s="659"/>
      <c r="R25" s="660">
        <f>+K25/$R$23*100</f>
        <v>112.9462569913152</v>
      </c>
      <c r="S25" s="809" t="s">
        <v>31</v>
      </c>
      <c r="T25" s="390"/>
      <c r="U25">
        <f t="shared" si="3"/>
        <v>1</v>
      </c>
    </row>
    <row r="26" spans="1:21" customFormat="1" ht="12.75" hidden="1" customHeight="1" thickTop="1" x14ac:dyDescent="0.4">
      <c r="A26" s="387">
        <v>16</v>
      </c>
      <c r="B26" s="440" t="str">
        <f>IF(A26&gt;0,VLOOKUP(A26,Düngemittel!$A$3:$J$1101,2),"")</f>
        <v>Monoammonphosphat</v>
      </c>
      <c r="C26" s="441">
        <f>IF($A26&gt;0,VLOOKUP($A26,Düngemittel!$A$3:$J$422,3),"")</f>
        <v>12</v>
      </c>
      <c r="D26" s="442">
        <f>IF($A26&gt;0,VLOOKUP($A26,Düngemittel!$A$3:$J$422,4),"")</f>
        <v>52</v>
      </c>
      <c r="E26" s="442">
        <f>IF($A26&gt;0,VLOOKUP($A26,Düngemittel!$A$3:$J$422,5),"")</f>
        <v>0</v>
      </c>
      <c r="F26" s="442">
        <f>IF($A26&gt;0,VLOOKUP($A26,Düngemittel!$A$3:$J$422,6),"")</f>
        <v>0</v>
      </c>
      <c r="G26" s="442">
        <f>IF($A26&gt;0,VLOOKUP($A26,Düngemittel!$A$3:$J$422,7),"")</f>
        <v>0</v>
      </c>
      <c r="H26" s="443">
        <f>IF($A26&gt;0,VLOOKUP($A26,Düngemittel!$A$3:$J$422,8),"")</f>
        <v>-37</v>
      </c>
      <c r="I26" s="383" t="e">
        <f>+VLOOKUP(B26,Preisabruf1!$D$1:$G$20,4,0)</f>
        <v>#N/A</v>
      </c>
      <c r="J26" s="444">
        <f t="shared" si="9"/>
        <v>1.179560688405797</v>
      </c>
      <c r="K26" s="363" t="e">
        <f>((I26+(-H26*$H$69)-(C26*$C$69)-(E26*$E$69)-(F26*$F$69)-(G26*$G$69))/D26)</f>
        <v>#N/A</v>
      </c>
      <c r="L26" s="445">
        <f t="shared" si="7"/>
        <v>0</v>
      </c>
      <c r="M26" s="445">
        <f t="shared" si="8"/>
        <v>0</v>
      </c>
      <c r="N26" s="445">
        <f t="shared" si="4"/>
        <v>0</v>
      </c>
      <c r="O26" s="445">
        <f t="shared" si="5"/>
        <v>9.2604166666666668E-2</v>
      </c>
      <c r="P26" s="446">
        <f>IF($A26&gt;0,VLOOKUP($A26,Düngemittel!$A$3:$J$422,9),"")</f>
        <v>0</v>
      </c>
      <c r="Q26" s="447"/>
      <c r="R26" s="430" t="e">
        <f t="shared" ref="R26:R36" si="11">+K26/$R$23*100</f>
        <v>#N/A</v>
      </c>
      <c r="S26" s="424" t="s">
        <v>31</v>
      </c>
      <c r="T26" s="390"/>
      <c r="U26" t="e">
        <f t="shared" si="3"/>
        <v>#N/A</v>
      </c>
    </row>
    <row r="27" spans="1:21" customFormat="1" ht="12.75" hidden="1" customHeight="1" x14ac:dyDescent="0.4">
      <c r="A27" s="387">
        <v>42</v>
      </c>
      <c r="B27" s="440" t="str">
        <f>IF(A27&gt;0,VLOOKUP(A27,Düngemittel!$A$3:$J$1101,2),"")</f>
        <v>NPK 6,5+16,5+25,6+3,8+2,6</v>
      </c>
      <c r="C27" s="441">
        <f>IF($A27&gt;0,VLOOKUP($A27,Düngemittel!$A$3:$J$422,3),"")</f>
        <v>6.5</v>
      </c>
      <c r="D27" s="442">
        <f>IF($A27&gt;0,VLOOKUP($A27,Düngemittel!$A$3:$J$422,4),"")</f>
        <v>16.5</v>
      </c>
      <c r="E27" s="442">
        <f>IF($A27&gt;0,VLOOKUP($A27,Düngemittel!$A$3:$J$422,5),"")</f>
        <v>25.6</v>
      </c>
      <c r="F27" s="442">
        <f>IF($A27&gt;0,VLOOKUP($A27,Düngemittel!$A$3:$J$422,6),"")</f>
        <v>3.8</v>
      </c>
      <c r="G27" s="442">
        <f>IF($A27&gt;0,VLOOKUP($A27,Düngemittel!$A$3:$J$422,7),"")</f>
        <v>2.6</v>
      </c>
      <c r="H27" s="443">
        <f>IF($A27&gt;0,VLOOKUP($A27,Düngemittel!$A$3:$J$422,8),"")</f>
        <v>-8</v>
      </c>
      <c r="I27" s="383" t="e">
        <f>+VLOOKUP(B27,Preisabruf1!$D$1:$G$20,4,0)</f>
        <v>#N/A</v>
      </c>
      <c r="J27" s="444">
        <f t="shared" si="9"/>
        <v>1.179560688405797</v>
      </c>
      <c r="K27" s="363" t="e">
        <f t="shared" si="10"/>
        <v>#N/A</v>
      </c>
      <c r="L27" s="445">
        <f t="shared" si="7"/>
        <v>0.60855274003623183</v>
      </c>
      <c r="M27" s="445">
        <f t="shared" si="8"/>
        <v>0.75789039855072449</v>
      </c>
      <c r="N27" s="445">
        <f t="shared" si="4"/>
        <v>0.62763700181159443</v>
      </c>
      <c r="O27" s="445">
        <f t="shared" si="5"/>
        <v>9.2604166666666668E-2</v>
      </c>
      <c r="P27" s="446">
        <f>IF($A27&gt;0,VLOOKUP($A27,Düngemittel!$A$3:$J$422,9),"")</f>
        <v>0</v>
      </c>
      <c r="Q27" s="447"/>
      <c r="R27" s="430" t="e">
        <f t="shared" si="11"/>
        <v>#N/A</v>
      </c>
      <c r="S27" s="424" t="s">
        <v>31</v>
      </c>
      <c r="T27" s="390"/>
      <c r="U27" t="e">
        <f t="shared" si="3"/>
        <v>#N/A</v>
      </c>
    </row>
    <row r="28" spans="1:21" customFormat="1" ht="12.75" hidden="1" customHeight="1" x14ac:dyDescent="0.4">
      <c r="A28" s="387">
        <v>35</v>
      </c>
      <c r="B28" s="440" t="str">
        <f>IF(A28&gt;0,VLOOKUP(A28,Düngemittel!$A$3:$J$1101,2),"")</f>
        <v>NPK 15+15+15</v>
      </c>
      <c r="C28" s="441">
        <f>IF($A28&gt;0,VLOOKUP($A28,Düngemittel!$A$3:$J$422,3),"")</f>
        <v>15</v>
      </c>
      <c r="D28" s="442">
        <f>IF($A28&gt;0,VLOOKUP($A28,Düngemittel!$A$3:$J$422,4),"")</f>
        <v>15</v>
      </c>
      <c r="E28" s="442">
        <f>IF($A28&gt;0,VLOOKUP($A28,Düngemittel!$A$3:$J$422,5),"")</f>
        <v>15</v>
      </c>
      <c r="F28" s="442">
        <f>IF($A28&gt;0,VLOOKUP($A28,Düngemittel!$A$3:$J$422,6),"")</f>
        <v>0</v>
      </c>
      <c r="G28" s="442">
        <f>IF($A28&gt;0,VLOOKUP($A28,Düngemittel!$A$3:$J$422,7),"")</f>
        <v>6</v>
      </c>
      <c r="H28" s="443">
        <f>IF($A28&gt;0,VLOOKUP($A28,Düngemittel!$A$3:$J$422,8),"")</f>
        <v>-14</v>
      </c>
      <c r="I28" s="383" t="e">
        <f>+VLOOKUP(B28,Preisabruf1!$D$1:$G$20,4,0)</f>
        <v>#N/A</v>
      </c>
      <c r="J28" s="444">
        <f t="shared" si="9"/>
        <v>1.179560688405797</v>
      </c>
      <c r="K28" s="363" t="e">
        <f t="shared" si="10"/>
        <v>#N/A</v>
      </c>
      <c r="L28" s="445">
        <f t="shared" si="7"/>
        <v>0.60855274003623183</v>
      </c>
      <c r="M28" s="445">
        <f t="shared" si="8"/>
        <v>0</v>
      </c>
      <c r="N28" s="445">
        <f t="shared" si="4"/>
        <v>0.62763700181159443</v>
      </c>
      <c r="O28" s="445">
        <f t="shared" si="5"/>
        <v>9.2604166666666668E-2</v>
      </c>
      <c r="P28" s="446">
        <f>IF($A28&gt;0,VLOOKUP($A28,Düngemittel!$A$3:$J$422,9),"")</f>
        <v>0</v>
      </c>
      <c r="Q28" s="447"/>
      <c r="R28" s="430" t="e">
        <f t="shared" si="11"/>
        <v>#N/A</v>
      </c>
      <c r="S28" s="424" t="s">
        <v>31</v>
      </c>
      <c r="T28" s="390"/>
      <c r="U28" t="e">
        <f t="shared" si="3"/>
        <v>#N/A</v>
      </c>
    </row>
    <row r="29" spans="1:21" customFormat="1" ht="12.75" hidden="1" customHeight="1" x14ac:dyDescent="0.4">
      <c r="A29" s="387">
        <v>34</v>
      </c>
      <c r="B29" s="440" t="str">
        <f>IF(A29&gt;0,VLOOKUP(A29,Düngemittel!$A$3:$J$1101,2),"")</f>
        <v>NPK 15+9+15+2</v>
      </c>
      <c r="C29" s="441">
        <f>IF($A29&gt;0,VLOOKUP($A29,Düngemittel!$A$3:$J$422,3),"")</f>
        <v>16</v>
      </c>
      <c r="D29" s="442">
        <f>IF($A29&gt;0,VLOOKUP($A29,Düngemittel!$A$3:$J$422,4),"")</f>
        <v>9</v>
      </c>
      <c r="E29" s="442">
        <f>IF($A29&gt;0,VLOOKUP($A29,Düngemittel!$A$3:$J$422,5),"")</f>
        <v>14</v>
      </c>
      <c r="F29" s="442">
        <f>IF($A29&gt;0,VLOOKUP($A29,Düngemittel!$A$3:$J$422,6),"")</f>
        <v>3</v>
      </c>
      <c r="G29" s="442">
        <f>IF($A29&gt;0,VLOOKUP($A29,Düngemittel!$A$3:$J$422,7),"")</f>
        <v>0</v>
      </c>
      <c r="H29" s="443">
        <f>IF($A29&gt;0,VLOOKUP($A29,Düngemittel!$A$3:$J$422,8),"")</f>
        <v>-14</v>
      </c>
      <c r="I29" s="383" t="e">
        <f>+VLOOKUP(B29,Preisabruf1!$D$1:$G$20,4,0)</f>
        <v>#N/A</v>
      </c>
      <c r="J29" s="444">
        <f t="shared" si="9"/>
        <v>1.179560688405797</v>
      </c>
      <c r="K29" s="363" t="e">
        <f t="shared" si="10"/>
        <v>#N/A</v>
      </c>
      <c r="L29" s="445">
        <f t="shared" si="7"/>
        <v>0.60855274003623183</v>
      </c>
      <c r="M29" s="445">
        <f t="shared" si="8"/>
        <v>0.75789039855072449</v>
      </c>
      <c r="N29" s="445">
        <f t="shared" si="4"/>
        <v>0</v>
      </c>
      <c r="O29" s="445">
        <f t="shared" si="5"/>
        <v>9.2604166666666668E-2</v>
      </c>
      <c r="P29" s="446">
        <f>IF($A29&gt;0,VLOOKUP($A29,Düngemittel!$A$3:$J$422,9),"")</f>
        <v>0</v>
      </c>
      <c r="Q29" s="447"/>
      <c r="R29" s="430" t="e">
        <f t="shared" si="11"/>
        <v>#N/A</v>
      </c>
      <c r="S29" s="424" t="s">
        <v>31</v>
      </c>
      <c r="T29" s="390"/>
      <c r="U29" t="e">
        <f t="shared" si="3"/>
        <v>#N/A</v>
      </c>
    </row>
    <row r="30" spans="1:21" customFormat="1" ht="12.75" hidden="1" customHeight="1" x14ac:dyDescent="0.4">
      <c r="A30" s="387">
        <v>43</v>
      </c>
      <c r="B30" s="440" t="str">
        <f>IF(A30&gt;0,VLOOKUP(A30,Düngemittel!$A$3:$J$1101,2),"")</f>
        <v>NPK 20+8+8+3+4</v>
      </c>
      <c r="C30" s="441">
        <f>IF($A30&gt;0,VLOOKUP($A30,Düngemittel!$A$3:$J$422,3),"")</f>
        <v>20</v>
      </c>
      <c r="D30" s="442">
        <f>IF($A30&gt;0,VLOOKUP($A30,Düngemittel!$A$3:$J$422,4),"")</f>
        <v>8</v>
      </c>
      <c r="E30" s="442">
        <f>IF($A30&gt;0,VLOOKUP($A30,Düngemittel!$A$3:$J$422,5),"")</f>
        <v>8</v>
      </c>
      <c r="F30" s="442">
        <f>IF($A30&gt;0,VLOOKUP($A30,Düngemittel!$A$3:$J$422,6),"")</f>
        <v>3</v>
      </c>
      <c r="G30" s="442">
        <f>IF($A30&gt;0,VLOOKUP($A30,Düngemittel!$A$3:$J$422,7),"")</f>
        <v>4</v>
      </c>
      <c r="H30" s="443">
        <f>IF($A30&gt;0,VLOOKUP($A30,Düngemittel!$A$3:$J$422,8),"")</f>
        <v>-19</v>
      </c>
      <c r="I30" s="383" t="e">
        <f>+VLOOKUP(B30,Preisabruf1!$D$1:$G$20,4,0)</f>
        <v>#N/A</v>
      </c>
      <c r="J30" s="444">
        <f t="shared" si="9"/>
        <v>1.179560688405797</v>
      </c>
      <c r="K30" s="363" t="e">
        <f t="shared" si="10"/>
        <v>#N/A</v>
      </c>
      <c r="L30" s="445">
        <f>IF(E30,+$E$69,0)</f>
        <v>0.60855274003623183</v>
      </c>
      <c r="M30" s="445">
        <f>IF(F30,+$F$69,0)</f>
        <v>0.75789039855072449</v>
      </c>
      <c r="N30" s="445">
        <f>IF(+G30,+$G$69,0)</f>
        <v>0.62763700181159443</v>
      </c>
      <c r="O30" s="445">
        <f>IF(+H30,+$H$69,0)</f>
        <v>9.2604166666666668E-2</v>
      </c>
      <c r="P30" s="446">
        <f>IF($A30&gt;0,VLOOKUP($A30,Düngemittel!$A$3:$J$422,9),"")</f>
        <v>0</v>
      </c>
      <c r="Q30" s="447"/>
      <c r="R30" s="430" t="e">
        <f t="shared" si="11"/>
        <v>#N/A</v>
      </c>
      <c r="S30" s="424" t="s">
        <v>31</v>
      </c>
      <c r="T30" s="390"/>
      <c r="U30" t="e">
        <f t="shared" si="3"/>
        <v>#N/A</v>
      </c>
    </row>
    <row r="31" spans="1:21" customFormat="1" ht="12.75" hidden="1" customHeight="1" x14ac:dyDescent="0.4">
      <c r="A31" s="387">
        <v>38</v>
      </c>
      <c r="B31" s="440" t="str">
        <f>IF(A31&gt;0,VLOOKUP(A31,Düngemittel!$A$3:$J$1101,2),"")</f>
        <v>NPK 13+9+16+4+7</v>
      </c>
      <c r="C31" s="441">
        <f>IF($A31&gt;0,VLOOKUP($A31,Düngemittel!$A$3:$J$422,3),"")</f>
        <v>13</v>
      </c>
      <c r="D31" s="442">
        <f>IF($A31&gt;0,VLOOKUP($A31,Düngemittel!$A$3:$J$422,4),"")</f>
        <v>9</v>
      </c>
      <c r="E31" s="442">
        <f>IF($A31&gt;0,VLOOKUP($A31,Düngemittel!$A$3:$J$422,5),"")</f>
        <v>16</v>
      </c>
      <c r="F31" s="442">
        <f>IF($A31&gt;0,VLOOKUP($A31,Düngemittel!$A$3:$J$422,6),"")</f>
        <v>4</v>
      </c>
      <c r="G31" s="442">
        <f>IF($A31&gt;0,VLOOKUP($A31,Düngemittel!$A$3:$J$422,7),"")</f>
        <v>7</v>
      </c>
      <c r="H31" s="443">
        <f>IF($A31&gt;0,VLOOKUP($A31,Düngemittel!$A$3:$J$422,8),"")</f>
        <v>-9</v>
      </c>
      <c r="I31" s="383" t="e">
        <f>+VLOOKUP(B31,Preisabruf1!$D$1:$G$20,4,0)</f>
        <v>#N/A</v>
      </c>
      <c r="J31" s="444">
        <f t="shared" si="9"/>
        <v>1.179560688405797</v>
      </c>
      <c r="K31" s="363" t="e">
        <f t="shared" si="10"/>
        <v>#N/A</v>
      </c>
      <c r="L31" s="445">
        <f t="shared" si="7"/>
        <v>0.60855274003623183</v>
      </c>
      <c r="M31" s="445">
        <f t="shared" si="8"/>
        <v>0.75789039855072449</v>
      </c>
      <c r="N31" s="445">
        <f t="shared" ref="N31:N46" si="12">IF(+G31,+$G$69,0)</f>
        <v>0.62763700181159443</v>
      </c>
      <c r="O31" s="445">
        <f t="shared" ref="O31:O46" si="13">IF(+H31,+$H$69,0)</f>
        <v>9.2604166666666668E-2</v>
      </c>
      <c r="P31" s="446">
        <f>IF($A31&gt;0,VLOOKUP($A31,Düngemittel!$A$3:$J$422,9),"")</f>
        <v>0</v>
      </c>
      <c r="Q31" s="447"/>
      <c r="R31" s="430" t="e">
        <f t="shared" si="11"/>
        <v>#N/A</v>
      </c>
      <c r="S31" s="424" t="s">
        <v>31</v>
      </c>
      <c r="T31" s="390"/>
      <c r="U31" t="e">
        <f t="shared" si="3"/>
        <v>#N/A</v>
      </c>
    </row>
    <row r="32" spans="1:21" customFormat="1" ht="12.75" hidden="1" customHeight="1" x14ac:dyDescent="0.4">
      <c r="A32" s="387">
        <v>73</v>
      </c>
      <c r="B32" s="440" t="str">
        <f>IF(A32&gt;0,VLOOKUP(A32,Düngemittel!$A$3:$J$1101,2),"")</f>
        <v>Thomaskali 10+20+3</v>
      </c>
      <c r="C32" s="441">
        <f>IF($A32&gt;0,VLOOKUP($A32,Düngemittel!$A$3:$J$422,3),"")</f>
        <v>0</v>
      </c>
      <c r="D32" s="442">
        <f>IF($A32&gt;0,VLOOKUP($A32,Düngemittel!$A$3:$J$422,4),"")</f>
        <v>10</v>
      </c>
      <c r="E32" s="442">
        <f>IF($A32&gt;0,VLOOKUP($A32,Düngemittel!$A$3:$J$422,5),"")</f>
        <v>20</v>
      </c>
      <c r="F32" s="442">
        <f>IF($A32&gt;0,VLOOKUP($A32,Düngemittel!$A$3:$J$422,6),"")</f>
        <v>3</v>
      </c>
      <c r="G32" s="442">
        <f>IF($A32&gt;0,VLOOKUP($A32,Düngemittel!$A$3:$J$422,7),"")</f>
        <v>2</v>
      </c>
      <c r="H32" s="443">
        <f>IF($A32&gt;0,VLOOKUP($A32,Düngemittel!$A$3:$J$422,8),"")</f>
        <v>21</v>
      </c>
      <c r="I32" s="383" t="e">
        <f>+VLOOKUP(B32,Preisabruf1!$D$1:$G$20,4,0)</f>
        <v>#N/A</v>
      </c>
      <c r="J32" s="444">
        <f t="shared" si="9"/>
        <v>0</v>
      </c>
      <c r="K32" s="363" t="e">
        <f>((I32+(-H32*$H$69)-(C32*$C$69)-(E32*$E$69)-(F32*$F$69)-(G32*$G$69)-P32))/D32</f>
        <v>#N/A</v>
      </c>
      <c r="L32" s="445">
        <f t="shared" si="7"/>
        <v>0.60855274003623183</v>
      </c>
      <c r="M32" s="445">
        <f t="shared" si="8"/>
        <v>0.75789039855072449</v>
      </c>
      <c r="N32" s="445">
        <f t="shared" si="12"/>
        <v>0.62763700181159443</v>
      </c>
      <c r="O32" s="445">
        <f t="shared" si="13"/>
        <v>9.2604166666666668E-2</v>
      </c>
      <c r="P32" s="446">
        <f>IF($A32&gt;0,VLOOKUP($A32,Düngemittel!$A$3:$J$422,9),"")</f>
        <v>2</v>
      </c>
      <c r="Q32" s="447"/>
      <c r="R32" s="430" t="e">
        <f t="shared" si="11"/>
        <v>#N/A</v>
      </c>
      <c r="S32" s="424" t="s">
        <v>31</v>
      </c>
      <c r="T32" s="390"/>
      <c r="U32" t="e">
        <f t="shared" si="3"/>
        <v>#N/A</v>
      </c>
    </row>
    <row r="33" spans="1:21" customFormat="1" ht="12.75" hidden="1" customHeight="1" x14ac:dyDescent="0.4">
      <c r="A33" s="387">
        <v>74</v>
      </c>
      <c r="B33" s="440" t="str">
        <f>IF(A33&gt;0,VLOOKUP(A33,Düngemittel!$A$3:$J$1101,2),"")</f>
        <v>Thomaskali 12+18+3</v>
      </c>
      <c r="C33" s="441">
        <f>IF($A33&gt;0,VLOOKUP($A33,Düngemittel!$A$3:$J$422,3),"")</f>
        <v>0</v>
      </c>
      <c r="D33" s="442">
        <f>IF($A33&gt;0,VLOOKUP($A33,Düngemittel!$A$3:$J$422,4),"")</f>
        <v>12</v>
      </c>
      <c r="E33" s="442">
        <f>IF($A33&gt;0,VLOOKUP($A33,Düngemittel!$A$3:$J$422,5),"")</f>
        <v>18</v>
      </c>
      <c r="F33" s="442">
        <f>IF($A33&gt;0,VLOOKUP($A33,Düngemittel!$A$3:$J$422,6),"")</f>
        <v>3</v>
      </c>
      <c r="G33" s="442">
        <f>IF($A33&gt;0,VLOOKUP($A33,Düngemittel!$A$3:$J$422,7),"")</f>
        <v>2</v>
      </c>
      <c r="H33" s="443">
        <f>IF($A33&gt;0,VLOOKUP($A33,Düngemittel!$A$3:$J$422,8),"")</f>
        <v>20</v>
      </c>
      <c r="I33" s="383" t="e">
        <f>+VLOOKUP(B33,Preisabruf1!$D$1:$G$20,4,0)</f>
        <v>#N/A</v>
      </c>
      <c r="J33" s="444">
        <f t="shared" si="9"/>
        <v>0</v>
      </c>
      <c r="K33" s="363" t="e">
        <f>((I33+(-H33*$H$69)-(C33*$C$69)-(E33*$E$69)-(F33*$F$69)-(G33*$G$69)-P33))/D33</f>
        <v>#N/A</v>
      </c>
      <c r="L33" s="445">
        <f t="shared" si="7"/>
        <v>0.60855274003623183</v>
      </c>
      <c r="M33" s="445">
        <f t="shared" si="8"/>
        <v>0.75789039855072449</v>
      </c>
      <c r="N33" s="445">
        <f t="shared" si="12"/>
        <v>0.62763700181159443</v>
      </c>
      <c r="O33" s="445">
        <f t="shared" si="13"/>
        <v>9.2604166666666668E-2</v>
      </c>
      <c r="P33" s="446">
        <f>IF($A33&gt;0,VLOOKUP($A33,Düngemittel!$A$3:$J$422,9),"")</f>
        <v>2</v>
      </c>
      <c r="Q33" s="447"/>
      <c r="R33" s="430" t="e">
        <f t="shared" si="11"/>
        <v>#N/A</v>
      </c>
      <c r="S33" s="424" t="s">
        <v>31</v>
      </c>
      <c r="T33" s="390"/>
      <c r="U33" t="e">
        <f t="shared" si="3"/>
        <v>#N/A</v>
      </c>
    </row>
    <row r="34" spans="1:21" customFormat="1" ht="12.75" hidden="1" customHeight="1" x14ac:dyDescent="0.4">
      <c r="A34" s="387">
        <v>75</v>
      </c>
      <c r="B34" s="440" t="str">
        <f>IF(A34&gt;0,VLOOKUP(A34,Düngemittel!$A$3:$J$1101,2),"")</f>
        <v>Thomaskali 10+15+3</v>
      </c>
      <c r="C34" s="441">
        <f>IF($A34&gt;0,VLOOKUP($A34,Düngemittel!$A$3:$J$422,3),"")</f>
        <v>0</v>
      </c>
      <c r="D34" s="442">
        <f>IF($A34&gt;0,VLOOKUP($A34,Düngemittel!$A$3:$J$422,4),"")</f>
        <v>10</v>
      </c>
      <c r="E34" s="442">
        <f>IF($A34&gt;0,VLOOKUP($A34,Düngemittel!$A$3:$J$422,5),"")</f>
        <v>15</v>
      </c>
      <c r="F34" s="442">
        <f>IF($A34&gt;0,VLOOKUP($A34,Düngemittel!$A$3:$J$422,6),"")</f>
        <v>3</v>
      </c>
      <c r="G34" s="442">
        <f>IF($A34&gt;0,VLOOKUP($A34,Düngemittel!$A$3:$J$422,7),"")</f>
        <v>2</v>
      </c>
      <c r="H34" s="448">
        <f>IF($A34&gt;0,VLOOKUP($A34,Düngemittel!$A$3:$J$422,8),"")</f>
        <v>24</v>
      </c>
      <c r="I34" s="383" t="e">
        <f>+VLOOKUP(B34,Preisabruf1!$D$1:$G$20,4,0)</f>
        <v>#N/A</v>
      </c>
      <c r="J34" s="444">
        <f t="shared" si="9"/>
        <v>0</v>
      </c>
      <c r="K34" s="363" t="e">
        <f>((I34+(-H34*$H$69)-(C34*$C$69)-(E34*$E$69)-(F34*$F$69)-(G34*$G$69)-P34))/D34</f>
        <v>#N/A</v>
      </c>
      <c r="L34" s="445">
        <f t="shared" si="7"/>
        <v>0.60855274003623183</v>
      </c>
      <c r="M34" s="445">
        <f t="shared" si="8"/>
        <v>0.75789039855072449</v>
      </c>
      <c r="N34" s="445">
        <f t="shared" si="12"/>
        <v>0.62763700181159443</v>
      </c>
      <c r="O34" s="445">
        <f t="shared" si="13"/>
        <v>9.2604166666666668E-2</v>
      </c>
      <c r="P34" s="446">
        <f>IF($A34&gt;0,VLOOKUP($A34,Düngemittel!$A$3:$J$422,9),"")</f>
        <v>2</v>
      </c>
      <c r="Q34" s="447"/>
      <c r="R34" s="430" t="e">
        <f t="shared" si="11"/>
        <v>#N/A</v>
      </c>
      <c r="S34" s="424" t="s">
        <v>31</v>
      </c>
      <c r="T34" s="390"/>
      <c r="U34" t="e">
        <f t="shared" si="3"/>
        <v>#N/A</v>
      </c>
    </row>
    <row r="35" spans="1:21" customFormat="1" ht="12.75" hidden="1" customHeight="1" x14ac:dyDescent="0.4">
      <c r="A35" s="387">
        <v>77</v>
      </c>
      <c r="B35" s="440" t="str">
        <f>IF(A35&gt;0,VLOOKUP(A35,Düngemittel!$A$3:$J$1101,2),"")</f>
        <v>Thomaskali 11+11+4</v>
      </c>
      <c r="C35" s="441">
        <f>IF($A35&gt;0,VLOOKUP($A35,Düngemittel!$A$3:$J$422,3),"")</f>
        <v>0</v>
      </c>
      <c r="D35" s="442">
        <f>IF($A35&gt;0,VLOOKUP($A35,Düngemittel!$A$3:$J$422,4),"")</f>
        <v>11</v>
      </c>
      <c r="E35" s="442">
        <f>IF($A35&gt;0,VLOOKUP($A35,Düngemittel!$A$3:$J$422,5),"")</f>
        <v>11</v>
      </c>
      <c r="F35" s="442">
        <f>IF($A35&gt;0,VLOOKUP($A35,Düngemittel!$A$3:$J$422,6),"")</f>
        <v>4</v>
      </c>
      <c r="G35" s="442">
        <f>IF($A35&gt;0,VLOOKUP($A35,Düngemittel!$A$3:$J$422,7),"")</f>
        <v>2</v>
      </c>
      <c r="H35" s="448">
        <f>IF($A35&gt;0,VLOOKUP($A35,Düngemittel!$A$3:$J$422,8),"")</f>
        <v>25</v>
      </c>
      <c r="I35" s="382" t="e">
        <f>+VLOOKUP(B35,Preisabruf1!$D$1:$G$20,4,0)</f>
        <v>#N/A</v>
      </c>
      <c r="J35" s="444">
        <f t="shared" si="9"/>
        <v>0</v>
      </c>
      <c r="K35" s="363" t="e">
        <f>IF(I35=0,0,(+I35-P35-(C35*$C$69)-(E35*$E$69)-(F35*$F$69)-(G35*$G$69))/D35)</f>
        <v>#N/A</v>
      </c>
      <c r="L35" s="445">
        <f t="shared" si="7"/>
        <v>0.60855274003623183</v>
      </c>
      <c r="M35" s="445">
        <f t="shared" si="8"/>
        <v>0.75789039855072449</v>
      </c>
      <c r="N35" s="445">
        <f t="shared" si="12"/>
        <v>0.62763700181159443</v>
      </c>
      <c r="O35" s="445">
        <f t="shared" si="13"/>
        <v>9.2604166666666668E-2</v>
      </c>
      <c r="P35" s="446">
        <f>IF($A35&gt;0,VLOOKUP($A35,Düngemittel!$A$3:$J$422,9),"")</f>
        <v>2</v>
      </c>
      <c r="Q35" s="447"/>
      <c r="R35" s="430" t="e">
        <f t="shared" si="11"/>
        <v>#N/A</v>
      </c>
      <c r="S35" s="424" t="s">
        <v>31</v>
      </c>
      <c r="T35" s="390"/>
      <c r="U35" t="e">
        <f t="shared" si="3"/>
        <v>#N/A</v>
      </c>
    </row>
    <row r="36" spans="1:21" customFormat="1" ht="12.75" hidden="1" customHeight="1" thickBot="1" x14ac:dyDescent="0.45">
      <c r="A36" s="387">
        <v>58</v>
      </c>
      <c r="B36" s="449" t="str">
        <f>IF(A36&gt;0,VLOOKUP(A36,Düngemittel!$A$3:$J$1101,2),"")</f>
        <v>Rhe-Ka-Phos 14+24</v>
      </c>
      <c r="C36" s="450">
        <f>IF($A36&gt;0,VLOOKUP($A36,Düngemittel!$A$3:$J$422,3),"")</f>
        <v>0</v>
      </c>
      <c r="D36" s="451">
        <f>IF($A36&gt;0,VLOOKUP($A36,Düngemittel!$A$3:$J$422,4),"")</f>
        <v>13</v>
      </c>
      <c r="E36" s="451">
        <f>IF($A36&gt;0,VLOOKUP($A36,Düngemittel!$A$3:$J$422,5),"")</f>
        <v>23</v>
      </c>
      <c r="F36" s="451">
        <f>IF($A36&gt;0,VLOOKUP($A36,Düngemittel!$A$3:$J$422,6),"")</f>
        <v>0</v>
      </c>
      <c r="G36" s="451">
        <f>IF($A36&gt;0,VLOOKUP($A36,Düngemittel!$A$3:$J$422,7),"")</f>
        <v>6</v>
      </c>
      <c r="H36" s="452">
        <f>IF($A36&gt;0,VLOOKUP($A36,Düngemittel!$A$3:$J$422,8),"")</f>
        <v>0</v>
      </c>
      <c r="I36" s="385" t="e">
        <f>+VLOOKUP(B36,Preisabruf1!$D$1:$G$20,4,0)</f>
        <v>#N/A</v>
      </c>
      <c r="J36" s="453">
        <f t="shared" si="9"/>
        <v>0</v>
      </c>
      <c r="K36" s="386" t="e">
        <f>((I36+(-H36*$H$69)-(C36*$C$69)-(E36*$E$69)-(F36*$F$69)-(G36*$G$69))/D36)</f>
        <v>#N/A</v>
      </c>
      <c r="L36" s="454">
        <f t="shared" si="7"/>
        <v>0.60855274003623183</v>
      </c>
      <c r="M36" s="454">
        <f t="shared" si="8"/>
        <v>0</v>
      </c>
      <c r="N36" s="454">
        <f t="shared" si="12"/>
        <v>0.62763700181159443</v>
      </c>
      <c r="O36" s="454">
        <f t="shared" si="13"/>
        <v>0</v>
      </c>
      <c r="P36" s="455">
        <f>IF($A36&gt;0,VLOOKUP($A36,Düngemittel!$A$3:$J$422,9),"")</f>
        <v>0</v>
      </c>
      <c r="Q36" s="456"/>
      <c r="R36" s="435" t="e">
        <f t="shared" si="11"/>
        <v>#N/A</v>
      </c>
      <c r="S36" s="436" t="s">
        <v>31</v>
      </c>
      <c r="T36" s="390"/>
      <c r="U36" t="e">
        <f t="shared" si="3"/>
        <v>#N/A</v>
      </c>
    </row>
    <row r="37" spans="1:21" ht="12.75" customHeight="1" thickTop="1" x14ac:dyDescent="0.4">
      <c r="A37" s="695"/>
      <c r="B37" s="695" t="s">
        <v>528</v>
      </c>
      <c r="C37" s="694"/>
      <c r="D37" s="737"/>
      <c r="E37" s="737"/>
      <c r="F37" s="737"/>
      <c r="G37" s="698"/>
      <c r="H37" s="733"/>
      <c r="I37" s="734"/>
      <c r="J37" s="738"/>
      <c r="K37" s="736"/>
      <c r="L37" s="739"/>
      <c r="M37" s="739"/>
      <c r="N37" s="739"/>
      <c r="O37" s="739" t="s">
        <v>32</v>
      </c>
      <c r="P37" s="700"/>
      <c r="Q37" s="758"/>
      <c r="R37" s="702">
        <f>+E69</f>
        <v>0.60855274003623183</v>
      </c>
      <c r="S37" s="759" t="s">
        <v>30</v>
      </c>
      <c r="T37" s="439"/>
      <c r="U37">
        <v>1</v>
      </c>
    </row>
    <row r="38" spans="1:21" s="574" customFormat="1" ht="12.75" customHeight="1" x14ac:dyDescent="0.4">
      <c r="A38" s="661">
        <v>49</v>
      </c>
      <c r="B38" s="633" t="str">
        <f>IF(A38&gt;0,VLOOKUP(A38,Düngemittel!$A$3:$J$1101,2),"")</f>
        <v>40er Kornkali + Mg 40 % K2O+6%MgO</v>
      </c>
      <c r="C38" s="662">
        <f>IF($A38&gt;0,VLOOKUP($A38,Düngemittel!$A$3:$J$422,3),"")</f>
        <v>0</v>
      </c>
      <c r="D38" s="663">
        <f>IF($A38&gt;0,VLOOKUP($A38,Düngemittel!$A$3:$J$422,4),"")</f>
        <v>0</v>
      </c>
      <c r="E38" s="663">
        <f>IF($A38&gt;0,VLOOKUP($A38,Düngemittel!$A$3:$J$422,5),"")</f>
        <v>40</v>
      </c>
      <c r="F38" s="663">
        <f>IF($A38&gt;0,VLOOKUP($A38,Düngemittel!$A$3:$J$422,6),"")</f>
        <v>6</v>
      </c>
      <c r="G38" s="665">
        <f>IF($A38&gt;0,VLOOKUP($A38,Düngemittel!$A$3:$J$422,7),"")</f>
        <v>4</v>
      </c>
      <c r="H38" s="666">
        <f>IF($A38&gt;0,VLOOKUP($A38,Düngemittel!$A$3:$J$422,8),"")</f>
        <v>0</v>
      </c>
      <c r="I38" s="667">
        <f>+VLOOKUP(B38,Preisabruf!$D$1:$G$22,4,0)</f>
        <v>31.4</v>
      </c>
      <c r="J38" s="664">
        <f t="shared" ref="J38:J43" si="14">IF(C38,+$C$69,0)</f>
        <v>0</v>
      </c>
      <c r="K38" s="638">
        <f t="shared" ref="K38:K43" si="15">IF(D38,+$D$69,0)</f>
        <v>0</v>
      </c>
      <c r="L38" s="760">
        <f>((I38-(F38*$F$69)-(G38*$G$69))/E38)</f>
        <v>0.60855274003623183</v>
      </c>
      <c r="M38" s="638">
        <f t="shared" ref="M38:M43" si="16">IF(F38,+$F$69,0)</f>
        <v>0.75789039855072449</v>
      </c>
      <c r="N38" s="639">
        <f t="shared" si="12"/>
        <v>0.62763700181159443</v>
      </c>
      <c r="O38" s="639">
        <f t="shared" si="13"/>
        <v>0</v>
      </c>
      <c r="P38" s="640">
        <f>IF($A38&gt;0,VLOOKUP($A38,Düngemittel!$A$3:$J$422,9),"")</f>
        <v>0</v>
      </c>
      <c r="Q38" s="641"/>
      <c r="R38" s="642">
        <f t="shared" ref="R38:R43" si="17">+L38/$R$37*100</f>
        <v>100</v>
      </c>
      <c r="S38" s="807" t="s">
        <v>31</v>
      </c>
      <c r="T38" s="390"/>
      <c r="U38">
        <f t="shared" si="3"/>
        <v>1</v>
      </c>
    </row>
    <row r="39" spans="1:21" customFormat="1" ht="12.75" hidden="1" customHeight="1" thickBot="1" x14ac:dyDescent="0.45">
      <c r="A39" s="388"/>
      <c r="B39" s="449" t="str">
        <f>IF(A39&gt;0,VLOOKUP(A39,Düngemittel!$A$3:$J$1101,2),"")</f>
        <v/>
      </c>
      <c r="C39" s="450" t="str">
        <f>IF($A39&gt;0,VLOOKUP($A39,Düngemittel!$A$3:$J$422,3),"")</f>
        <v/>
      </c>
      <c r="D39" s="451" t="str">
        <f>IF($A39&gt;0,VLOOKUP($A39,Düngemittel!$A$3:$J$422,4),"")</f>
        <v/>
      </c>
      <c r="E39" s="451" t="str">
        <f>IF($A39&gt;0,VLOOKUP($A39,Düngemittel!$A$3:$J$422,5),"")</f>
        <v/>
      </c>
      <c r="F39" s="451" t="str">
        <f>IF($A39&gt;0,VLOOKUP($A39,Düngemittel!$A$3:$J$422,6),"")</f>
        <v/>
      </c>
      <c r="G39" s="451" t="str">
        <f>IF($A39&gt;0,VLOOKUP($A39,Düngemittel!$A$3:$J$422,7),"")</f>
        <v/>
      </c>
      <c r="H39" s="457" t="str">
        <f>IF($A39&gt;0,VLOOKUP($A39,Düngemittel!$A$3:$J$422,8),"")</f>
        <v/>
      </c>
      <c r="I39" s="384" t="e">
        <f>+VLOOKUP(B39,Preisabruf1!$D$1:$G$20,4,0)</f>
        <v>#N/A</v>
      </c>
      <c r="J39" s="453" t="e">
        <f t="shared" si="14"/>
        <v>#VALUE!</v>
      </c>
      <c r="K39" s="454" t="e">
        <f t="shared" si="15"/>
        <v>#VALUE!</v>
      </c>
      <c r="L39" s="386" t="e">
        <f>I39/E39</f>
        <v>#N/A</v>
      </c>
      <c r="M39" s="454" t="e">
        <f t="shared" si="16"/>
        <v>#VALUE!</v>
      </c>
      <c r="N39" s="454" t="e">
        <f t="shared" si="12"/>
        <v>#VALUE!</v>
      </c>
      <c r="O39" s="454" t="e">
        <f t="shared" si="13"/>
        <v>#VALUE!</v>
      </c>
      <c r="P39" s="455" t="str">
        <f>IF($A39&gt;0,VLOOKUP($A39,Düngemittel!$A$3:$J$422,9),"")</f>
        <v/>
      </c>
      <c r="Q39" s="456"/>
      <c r="R39" s="435" t="e">
        <f t="shared" si="17"/>
        <v>#N/A</v>
      </c>
      <c r="S39" s="436" t="s">
        <v>31</v>
      </c>
      <c r="T39" s="390"/>
      <c r="U39" t="e">
        <f t="shared" si="3"/>
        <v>#N/A</v>
      </c>
    </row>
    <row r="40" spans="1:21" customFormat="1" ht="12.75" hidden="1" customHeight="1" thickTop="1" x14ac:dyDescent="0.4">
      <c r="A40" s="387"/>
      <c r="B40" s="440" t="str">
        <f>IF(A40&gt;0,VLOOKUP(A40,Düngemittel!$A$3:$J$1101,2),"")</f>
        <v/>
      </c>
      <c r="C40" s="441" t="str">
        <f>IF($A40&gt;0,VLOOKUP($A40,Düngemittel!$A$3:$J$422,3),"")</f>
        <v/>
      </c>
      <c r="D40" s="442" t="str">
        <f>IF($A40&gt;0,VLOOKUP($A40,Düngemittel!$A$3:$J$422,4),"")</f>
        <v/>
      </c>
      <c r="E40" s="442" t="str">
        <f>IF($A40&gt;0,VLOOKUP($A40,Düngemittel!$A$3:$J$422,5),"")</f>
        <v/>
      </c>
      <c r="F40" s="442" t="str">
        <f>IF($A40&gt;0,VLOOKUP($A40,Düngemittel!$A$3:$J$422,6),"")</f>
        <v/>
      </c>
      <c r="G40" s="442" t="str">
        <f>IF($A40&gt;0,VLOOKUP($A40,Düngemittel!$A$3:$J$422,7),"")</f>
        <v/>
      </c>
      <c r="H40" s="443" t="str">
        <f>IF($A40&gt;0,VLOOKUP($A40,Düngemittel!$A$3:$J$422,8),"")</f>
        <v/>
      </c>
      <c r="I40" s="383" t="e">
        <f>+VLOOKUP(B40,Preisabruf1!$D$1:$G$20,4,0)</f>
        <v>#N/A</v>
      </c>
      <c r="J40" s="444" t="e">
        <f t="shared" si="14"/>
        <v>#VALUE!</v>
      </c>
      <c r="K40" s="445" t="e">
        <f t="shared" si="15"/>
        <v>#VALUE!</v>
      </c>
      <c r="L40" s="363" t="e">
        <f>+IF(I40=0,0,(+I40-(C40*$C$69)-(D40*$C$69)-(F40*$F$69)-(G40*$G$69)-(H40*$H$69))/E40)</f>
        <v>#N/A</v>
      </c>
      <c r="M40" s="445" t="e">
        <f t="shared" si="16"/>
        <v>#VALUE!</v>
      </c>
      <c r="N40" s="445" t="e">
        <f t="shared" si="12"/>
        <v>#VALUE!</v>
      </c>
      <c r="O40" s="445" t="e">
        <f t="shared" si="13"/>
        <v>#VALUE!</v>
      </c>
      <c r="P40" s="446" t="str">
        <f>IF($A40&gt;0,VLOOKUP($A40,Düngemittel!$A$3:$J$422,9),"")</f>
        <v/>
      </c>
      <c r="Q40" s="447"/>
      <c r="R40" s="430" t="e">
        <f t="shared" si="17"/>
        <v>#N/A</v>
      </c>
      <c r="S40" s="424" t="s">
        <v>31</v>
      </c>
      <c r="T40" s="390"/>
      <c r="U40" t="e">
        <f t="shared" si="3"/>
        <v>#N/A</v>
      </c>
    </row>
    <row r="41" spans="1:21" customFormat="1" ht="12.75" hidden="1" customHeight="1" x14ac:dyDescent="0.4">
      <c r="A41" s="387"/>
      <c r="B41" s="440" t="str">
        <f>IF(A41&gt;0,VLOOKUP(A41,Düngemittel!$A$3:$J$1101,2),"")</f>
        <v/>
      </c>
      <c r="C41" s="441" t="str">
        <f>IF($A41&gt;0,VLOOKUP($A41,Düngemittel!$A$3:$J$422,3),"")</f>
        <v/>
      </c>
      <c r="D41" s="442" t="str">
        <f>IF($A41&gt;0,VLOOKUP($A41,Düngemittel!$A$3:$J$422,4),"")</f>
        <v/>
      </c>
      <c r="E41" s="442" t="str">
        <f>IF($A41&gt;0,VLOOKUP($A41,Düngemittel!$A$3:$J$422,5),"")</f>
        <v/>
      </c>
      <c r="F41" s="442" t="str">
        <f>IF($A41&gt;0,VLOOKUP($A41,Düngemittel!$A$3:$J$422,6),"")</f>
        <v/>
      </c>
      <c r="G41" s="442" t="str">
        <f>IF($A41&gt;0,VLOOKUP($A41,Düngemittel!$A$3:$J$422,7),"")</f>
        <v/>
      </c>
      <c r="H41" s="443" t="str">
        <f>IF($A41&gt;0,VLOOKUP($A41,Düngemittel!$A$3:$J$422,8),"")</f>
        <v/>
      </c>
      <c r="I41" s="383" t="e">
        <f>+VLOOKUP(B41,Preisabruf1!$D$1:$G$20,4,0)</f>
        <v>#N/A</v>
      </c>
      <c r="J41" s="444" t="e">
        <f t="shared" si="14"/>
        <v>#VALUE!</v>
      </c>
      <c r="K41" s="445" t="e">
        <f t="shared" si="15"/>
        <v>#VALUE!</v>
      </c>
      <c r="L41" s="363" t="e">
        <f>+IF(I41=0,0,(+I41-(C41*$C$69)-(D41*$C$69)-(F41*$F$69)-(G41*$G$69)-(H41*$H$69))/E41)</f>
        <v>#N/A</v>
      </c>
      <c r="M41" s="445" t="e">
        <f t="shared" si="16"/>
        <v>#VALUE!</v>
      </c>
      <c r="N41" s="445" t="e">
        <f t="shared" si="12"/>
        <v>#VALUE!</v>
      </c>
      <c r="O41" s="445" t="e">
        <f t="shared" si="13"/>
        <v>#VALUE!</v>
      </c>
      <c r="P41" s="446" t="str">
        <f>IF($A41&gt;0,VLOOKUP($A41,Düngemittel!$A$3:$J$422,9),"")</f>
        <v/>
      </c>
      <c r="Q41" s="447"/>
      <c r="R41" s="430" t="e">
        <f t="shared" si="17"/>
        <v>#N/A</v>
      </c>
      <c r="S41" s="424" t="s">
        <v>31</v>
      </c>
      <c r="T41" s="390"/>
      <c r="U41" t="e">
        <f t="shared" si="3"/>
        <v>#N/A</v>
      </c>
    </row>
    <row r="42" spans="1:21" customFormat="1" ht="12.75" hidden="1" customHeight="1" x14ac:dyDescent="0.4">
      <c r="A42" s="387"/>
      <c r="B42" s="440" t="str">
        <f>IF(A42&gt;0,VLOOKUP(A42,Düngemittel!$A$3:$J$1101,2),"")</f>
        <v/>
      </c>
      <c r="C42" s="441" t="str">
        <f>IF($A42&gt;0,VLOOKUP($A42,Düngemittel!$A$3:$J$422,3),"")</f>
        <v/>
      </c>
      <c r="D42" s="442" t="str">
        <f>IF($A42&gt;0,VLOOKUP($A42,Düngemittel!$A$3:$J$422,4),"")</f>
        <v/>
      </c>
      <c r="E42" s="442" t="str">
        <f>IF($A42&gt;0,VLOOKUP($A42,Düngemittel!$A$3:$J$422,5),"")</f>
        <v/>
      </c>
      <c r="F42" s="442" t="str">
        <f>IF($A42&gt;0,VLOOKUP($A42,Düngemittel!$A$3:$J$422,6),"")</f>
        <v/>
      </c>
      <c r="G42" s="442" t="str">
        <f>IF($A42&gt;0,VLOOKUP($A42,Düngemittel!$A$3:$J$422,7),"")</f>
        <v/>
      </c>
      <c r="H42" s="443" t="str">
        <f>IF($A42&gt;0,VLOOKUP($A42,Düngemittel!$A$3:$J$422,8),"")</f>
        <v/>
      </c>
      <c r="I42" s="383" t="e">
        <f>+VLOOKUP(B42,Preisabruf1!$D$1:$G$20,4,0)</f>
        <v>#N/A</v>
      </c>
      <c r="J42" s="444" t="e">
        <f t="shared" si="14"/>
        <v>#VALUE!</v>
      </c>
      <c r="K42" s="445" t="e">
        <f t="shared" si="15"/>
        <v>#VALUE!</v>
      </c>
      <c r="L42" s="363" t="e">
        <f>+IF(I42=0,0,(+I42-(C42*$C$69)-(D42*$C$69)-(F42*$F$69)-(G42*$G$69)-(H42*$H$69))/E42)</f>
        <v>#N/A</v>
      </c>
      <c r="M42" s="445" t="e">
        <f t="shared" si="16"/>
        <v>#VALUE!</v>
      </c>
      <c r="N42" s="445" t="e">
        <f t="shared" si="12"/>
        <v>#VALUE!</v>
      </c>
      <c r="O42" s="445" t="e">
        <f t="shared" si="13"/>
        <v>#VALUE!</v>
      </c>
      <c r="P42" s="446" t="str">
        <f>IF($A42&gt;0,VLOOKUP($A42,Düngemittel!$A$3:$J$422,9),"")</f>
        <v/>
      </c>
      <c r="Q42" s="447"/>
      <c r="R42" s="430" t="e">
        <f t="shared" si="17"/>
        <v>#N/A</v>
      </c>
      <c r="S42" s="424" t="s">
        <v>31</v>
      </c>
      <c r="T42" s="390"/>
      <c r="U42" t="e">
        <f t="shared" si="3"/>
        <v>#N/A</v>
      </c>
    </row>
    <row r="43" spans="1:21" customFormat="1" ht="12.75" hidden="1" customHeight="1" thickBot="1" x14ac:dyDescent="0.45">
      <c r="A43" s="387"/>
      <c r="B43" s="449" t="str">
        <f>IF(A43&gt;0,VLOOKUP(A43,Düngemittel!$A$3:$J$1101,2),"")</f>
        <v/>
      </c>
      <c r="C43" s="450" t="str">
        <f>IF($A43&gt;0,VLOOKUP($A43,Düngemittel!$A$3:$J$422,3),"")</f>
        <v/>
      </c>
      <c r="D43" s="451" t="str">
        <f>IF($A43&gt;0,VLOOKUP($A43,Düngemittel!$A$3:$J$422,4),"")</f>
        <v/>
      </c>
      <c r="E43" s="451" t="str">
        <f>IF($A43&gt;0,VLOOKUP($A43,Düngemittel!$A$3:$J$422,5),"")</f>
        <v/>
      </c>
      <c r="F43" s="451" t="str">
        <f>IF($A43&gt;0,VLOOKUP($A43,Düngemittel!$A$3:$J$422,6),"")</f>
        <v/>
      </c>
      <c r="G43" s="451" t="str">
        <f>IF($A43&gt;0,VLOOKUP($A43,Düngemittel!$A$3:$J$422,7),"")</f>
        <v/>
      </c>
      <c r="H43" s="457" t="str">
        <f>IF($A43&gt;0,VLOOKUP($A43,Düngemittel!$A$3:$J$422,8),"")</f>
        <v/>
      </c>
      <c r="I43" s="385" t="e">
        <f>+VLOOKUP(B43,Preisabruf1!$D$1:$G$20,4,0)</f>
        <v>#N/A</v>
      </c>
      <c r="J43" s="453" t="e">
        <f t="shared" si="14"/>
        <v>#VALUE!</v>
      </c>
      <c r="K43" s="454" t="e">
        <f t="shared" si="15"/>
        <v>#VALUE!</v>
      </c>
      <c r="L43" s="386" t="e">
        <f>((I43-(F43*$F$69)-(G43*$G$69))/E43)</f>
        <v>#N/A</v>
      </c>
      <c r="M43" s="454" t="e">
        <f t="shared" si="16"/>
        <v>#VALUE!</v>
      </c>
      <c r="N43" s="454" t="e">
        <f t="shared" si="12"/>
        <v>#VALUE!</v>
      </c>
      <c r="O43" s="454" t="e">
        <f t="shared" si="13"/>
        <v>#VALUE!</v>
      </c>
      <c r="P43" s="455" t="str">
        <f>IF($A43&gt;0,VLOOKUP($A43,Düngemittel!$A$3:$J$422,9),"")</f>
        <v/>
      </c>
      <c r="Q43" s="456"/>
      <c r="R43" s="435" t="e">
        <f t="shared" si="17"/>
        <v>#N/A</v>
      </c>
      <c r="S43" s="436" t="s">
        <v>31</v>
      </c>
      <c r="T43" s="390"/>
      <c r="U43" t="e">
        <f t="shared" si="3"/>
        <v>#N/A</v>
      </c>
    </row>
    <row r="44" spans="1:21" ht="12.75" customHeight="1" x14ac:dyDescent="0.4">
      <c r="A44" s="695"/>
      <c r="B44" s="695" t="s">
        <v>33</v>
      </c>
      <c r="C44" s="694"/>
      <c r="D44" s="737"/>
      <c r="E44" s="737"/>
      <c r="F44" s="737"/>
      <c r="G44" s="698"/>
      <c r="H44" s="733"/>
      <c r="I44" s="734"/>
      <c r="J44" s="738"/>
      <c r="K44" s="739"/>
      <c r="L44" s="739"/>
      <c r="M44" s="739"/>
      <c r="N44" s="739"/>
      <c r="O44" s="739" t="s">
        <v>8</v>
      </c>
      <c r="P44" s="700"/>
      <c r="Q44" s="758"/>
      <c r="R44" s="702">
        <f>+F69</f>
        <v>0.75789039855072449</v>
      </c>
      <c r="S44" s="759" t="s">
        <v>30</v>
      </c>
      <c r="T44" s="439"/>
      <c r="U44">
        <v>1</v>
      </c>
    </row>
    <row r="45" spans="1:21" s="574" customFormat="1" ht="12.75" customHeight="1" x14ac:dyDescent="0.4">
      <c r="A45" s="661">
        <v>49</v>
      </c>
      <c r="B45" s="633" t="str">
        <f>IF(A45&gt;0,VLOOKUP(A45,Düngemittel!$A$3:$J$1101,2),"")</f>
        <v>40er Kornkali + Mg 40 % K2O+6%MgO</v>
      </c>
      <c r="C45" s="662">
        <f>IF($A45&gt;0,VLOOKUP($A45,Düngemittel!$A$3:$J$422,3),"")</f>
        <v>0</v>
      </c>
      <c r="D45" s="663">
        <f>IF($A45&gt;0,VLOOKUP($A45,Düngemittel!$A$3:$J$422,4),"")</f>
        <v>0</v>
      </c>
      <c r="E45" s="663">
        <f>IF($A45&gt;0,VLOOKUP($A45,Düngemittel!$A$3:$J$422,5),"")</f>
        <v>40</v>
      </c>
      <c r="F45" s="663">
        <f>IF($A45&gt;0,VLOOKUP($A45,Düngemittel!$A$3:$J$422,6),"")</f>
        <v>6</v>
      </c>
      <c r="G45" s="663">
        <f>IF($A45&gt;0,VLOOKUP($A45,Düngemittel!$A$3:$J$422,7),"")</f>
        <v>4</v>
      </c>
      <c r="H45" s="645">
        <f>IF($A45&gt;0,VLOOKUP($A45,Düngemittel!$A$3:$J$422,8),"")</f>
        <v>0</v>
      </c>
      <c r="I45" s="636">
        <f>+VLOOKUP(B45,Preisabruf!$D$1:$G$22,4,0)</f>
        <v>31.4</v>
      </c>
      <c r="J45" s="664">
        <f t="shared" ref="J45:J50" si="18">IF(C45,+$C$69,0)</f>
        <v>0</v>
      </c>
      <c r="K45" s="638">
        <f t="shared" ref="K45:K50" si="19">IF(D45,+$D$69,0)</f>
        <v>0</v>
      </c>
      <c r="L45" s="638">
        <f t="shared" ref="L45:L50" si="20">IF(E45,+$E$69,0)</f>
        <v>0.60855274003623183</v>
      </c>
      <c r="M45" s="668">
        <f>((I45-(E45*E69)-(G45*G69)))/F45</f>
        <v>0.7578903985507246</v>
      </c>
      <c r="N45" s="639">
        <f t="shared" si="12"/>
        <v>0.62763700181159443</v>
      </c>
      <c r="O45" s="639">
        <f t="shared" si="13"/>
        <v>0</v>
      </c>
      <c r="P45" s="640">
        <f>IF($A45&gt;0,VLOOKUP($A45,Düngemittel!$A$3:$J$422,9),"")</f>
        <v>0</v>
      </c>
      <c r="Q45" s="641"/>
      <c r="R45" s="642">
        <f t="shared" ref="R45:R50" si="21">+M45/$R$44*100</f>
        <v>100.00000000000003</v>
      </c>
      <c r="S45" s="807" t="s">
        <v>31</v>
      </c>
      <c r="T45" s="390"/>
      <c r="U45">
        <f t="shared" si="3"/>
        <v>1</v>
      </c>
    </row>
    <row r="46" spans="1:21" s="574" customFormat="1" ht="12.75" customHeight="1" x14ac:dyDescent="0.4">
      <c r="A46" s="661">
        <v>51</v>
      </c>
      <c r="B46" s="633" t="str">
        <f>IF(A46&gt;0,VLOOKUP(A46,Düngemittel!$A$3:$J$1101,2),"")</f>
        <v>Kalimagnesia 30 % K2O+ 10%MgO/Patentkali</v>
      </c>
      <c r="C46" s="662">
        <f>IF($A46&gt;0,VLOOKUP($A46,Düngemittel!$A$3:$J$422,3),"")</f>
        <v>0</v>
      </c>
      <c r="D46" s="663">
        <f>IF($A46&gt;0,VLOOKUP($A46,Düngemittel!$A$3:$J$422,4),"")</f>
        <v>0</v>
      </c>
      <c r="E46" s="663">
        <f>IF($A46&gt;0,VLOOKUP($A46,Düngemittel!$A$3:$J$422,5),"")</f>
        <v>30</v>
      </c>
      <c r="F46" s="663">
        <f>IF($A46&gt;0,VLOOKUP($A46,Düngemittel!$A$3:$J$422,6),"")</f>
        <v>10</v>
      </c>
      <c r="G46" s="663">
        <f>IF($A46&gt;0,VLOOKUP($A46,Düngemittel!$A$3:$J$422,7),"")</f>
        <v>17</v>
      </c>
      <c r="H46" s="645">
        <f>IF($A46&gt;0,VLOOKUP($A46,Düngemittel!$A$3:$J$422,8),"")</f>
        <v>0</v>
      </c>
      <c r="I46" s="636">
        <f>+VLOOKUP(B46,Preisabruf!$D$1:$G$22,4,0)</f>
        <v>47.75</v>
      </c>
      <c r="J46" s="637">
        <f t="shared" si="18"/>
        <v>0</v>
      </c>
      <c r="K46" s="639">
        <f t="shared" si="19"/>
        <v>0</v>
      </c>
      <c r="L46" s="639">
        <f t="shared" si="20"/>
        <v>0.60855274003623183</v>
      </c>
      <c r="M46" s="668">
        <f>((I46-(E46*$E$69)-(G46*$G$69)))/F46</f>
        <v>1.882358876811594</v>
      </c>
      <c r="N46" s="639">
        <f t="shared" si="12"/>
        <v>0.62763700181159443</v>
      </c>
      <c r="O46" s="639">
        <f t="shared" si="13"/>
        <v>0</v>
      </c>
      <c r="P46" s="640">
        <f>IF($A46&gt;0,VLOOKUP($A46,Düngemittel!$A$3:$J$422,9),"")</f>
        <v>0</v>
      </c>
      <c r="Q46" s="647"/>
      <c r="R46" s="648">
        <f t="shared" si="21"/>
        <v>248.36821793904949</v>
      </c>
      <c r="S46" s="808" t="s">
        <v>31</v>
      </c>
      <c r="T46" s="390"/>
      <c r="U46">
        <f t="shared" si="3"/>
        <v>1</v>
      </c>
    </row>
    <row r="47" spans="1:21" s="574" customFormat="1" ht="12.75" customHeight="1" thickBot="1" x14ac:dyDescent="0.45">
      <c r="A47" s="650">
        <v>54</v>
      </c>
      <c r="B47" s="651" t="str">
        <f>IF(A47&gt;0,VLOOKUP(A47,Düngemittel!$A$3:$J$1101,2),"")</f>
        <v>Kieserit, 25/20</v>
      </c>
      <c r="C47" s="652">
        <f>IF($A47&gt;0,VLOOKUP($A47,Düngemittel!$A$3:$J$422,3),"")</f>
        <v>0</v>
      </c>
      <c r="D47" s="653">
        <f>IF($A47&gt;0,VLOOKUP($A47,Düngemittel!$A$3:$J$422,4),"")</f>
        <v>0</v>
      </c>
      <c r="E47" s="653">
        <f>IF($A47&gt;0,VLOOKUP($A47,Düngemittel!$A$3:$J$422,5),"")</f>
        <v>0</v>
      </c>
      <c r="F47" s="653">
        <f>IF($A47&gt;0,VLOOKUP($A47,Düngemittel!$A$3:$J$422,6),"")</f>
        <v>25</v>
      </c>
      <c r="G47" s="653">
        <f>IF($A47&gt;0,VLOOKUP($A47,Düngemittel!$A$3:$J$422,7),"")</f>
        <v>20</v>
      </c>
      <c r="H47" s="654">
        <f>IF($A47&gt;0,VLOOKUP($A47,Düngemittel!$A$3:$J$422,8),"")</f>
        <v>0</v>
      </c>
      <c r="I47" s="655">
        <f>+VLOOKUP(B47,Preisabruf!$D$1:$G$22,4,0)</f>
        <v>31.5</v>
      </c>
      <c r="J47" s="656">
        <f t="shared" si="18"/>
        <v>0</v>
      </c>
      <c r="K47" s="657">
        <f t="shared" si="19"/>
        <v>0</v>
      </c>
      <c r="L47" s="657">
        <f t="shared" si="20"/>
        <v>0</v>
      </c>
      <c r="M47" s="761">
        <f>(($I$47-(G47*$G$69)))/F47</f>
        <v>0.75789039855072449</v>
      </c>
      <c r="N47" s="657">
        <f>IF(+G47,+$G$69,0)</f>
        <v>0.62763700181159443</v>
      </c>
      <c r="O47" s="657">
        <f>IF(+H47,+$H$69,0)</f>
        <v>0</v>
      </c>
      <c r="P47" s="658">
        <f>IF($A47&gt;0,VLOOKUP($A47,Düngemittel!$A$3:$J$422,9),"")</f>
        <v>0</v>
      </c>
      <c r="Q47" s="659"/>
      <c r="R47" s="660">
        <f t="shared" si="21"/>
        <v>100</v>
      </c>
      <c r="S47" s="809" t="s">
        <v>31</v>
      </c>
      <c r="T47" s="390"/>
      <c r="U47">
        <f t="shared" si="3"/>
        <v>1</v>
      </c>
    </row>
    <row r="48" spans="1:21" customFormat="1" ht="12.75" hidden="1" customHeight="1" thickTop="1" x14ac:dyDescent="0.4">
      <c r="A48" s="387">
        <v>55</v>
      </c>
      <c r="B48" s="440" t="str">
        <f>IF(A48&gt;0,VLOOKUP(A48,Düngemittel!$A$3:$J$1101,2),"")</f>
        <v>Kieserit fein</v>
      </c>
      <c r="C48" s="441">
        <f>IF($A48&gt;0,VLOOKUP($A48,Düngemittel!$A$3:$J$422,3),"")</f>
        <v>0</v>
      </c>
      <c r="D48" s="442">
        <f>IF($A48&gt;0,VLOOKUP($A48,Düngemittel!$A$3:$J$422,4),"")</f>
        <v>0</v>
      </c>
      <c r="E48" s="442">
        <f>IF($A48&gt;0,VLOOKUP($A48,Düngemittel!$A$3:$J$422,5),"")</f>
        <v>0</v>
      </c>
      <c r="F48" s="442">
        <f>IF($A48&gt;0,VLOOKUP($A48,Düngemittel!$A$3:$J$422,6),"")</f>
        <v>27</v>
      </c>
      <c r="G48" s="442">
        <f>IF($A48&gt;0,VLOOKUP($A48,Düngemittel!$A$3:$J$422,7),"")</f>
        <v>22</v>
      </c>
      <c r="H48" s="443">
        <f>IF($A48&gt;0,VLOOKUP($A48,Düngemittel!$A$3:$J$422,8),"")</f>
        <v>0</v>
      </c>
      <c r="I48" s="383" t="e">
        <f>+VLOOKUP(B48,Preisabruf1!$D$1:$G$20,4,0)</f>
        <v>#N/A</v>
      </c>
      <c r="J48" s="444">
        <f>IF(C48,+$C$69,0)</f>
        <v>0</v>
      </c>
      <c r="K48" s="445">
        <f t="shared" si="19"/>
        <v>0</v>
      </c>
      <c r="L48" s="445">
        <f t="shared" si="20"/>
        <v>0</v>
      </c>
      <c r="M48" s="458" t="e">
        <f>(($I$48-(G48*G69)))/F48</f>
        <v>#N/A</v>
      </c>
      <c r="N48" s="445">
        <f t="shared" ref="N48:N58" si="22">IF(+G48,+$G$69,0)</f>
        <v>0.62763700181159443</v>
      </c>
      <c r="O48" s="445">
        <f>IF(+H48,+$H$69,0)</f>
        <v>0</v>
      </c>
      <c r="P48" s="446">
        <f>IF($A48&gt;0,VLOOKUP($A48,Düngemittel!$A$3:$J$422,9),"")</f>
        <v>0</v>
      </c>
      <c r="Q48" s="447"/>
      <c r="R48" s="430" t="e">
        <f t="shared" si="21"/>
        <v>#N/A</v>
      </c>
      <c r="S48" s="424" t="s">
        <v>31</v>
      </c>
      <c r="T48" s="390"/>
      <c r="U48" t="e">
        <f t="shared" si="3"/>
        <v>#N/A</v>
      </c>
    </row>
    <row r="49" spans="1:21" customFormat="1" ht="12.75" hidden="1" customHeight="1" x14ac:dyDescent="0.4">
      <c r="A49" s="387">
        <v>56</v>
      </c>
      <c r="B49" s="440" t="str">
        <f>IF(A49&gt;0,VLOOKUP(A49,Düngemittel!$A$3:$J$1101,2),"")</f>
        <v>Bittersalz</v>
      </c>
      <c r="C49" s="441">
        <f>IF($A49&gt;0,VLOOKUP($A49,Düngemittel!$A$3:$J$422,3),"")</f>
        <v>0</v>
      </c>
      <c r="D49" s="442">
        <f>IF($A49&gt;0,VLOOKUP($A49,Düngemittel!$A$3:$J$422,4),"")</f>
        <v>0</v>
      </c>
      <c r="E49" s="442">
        <f>IF($A49&gt;0,VLOOKUP($A49,Düngemittel!$A$3:$J$422,5),"")</f>
        <v>0</v>
      </c>
      <c r="F49" s="442">
        <f>IF($A49&gt;0,VLOOKUP($A49,Düngemittel!$A$3:$J$422,6),"")</f>
        <v>16</v>
      </c>
      <c r="G49" s="442">
        <f>IF($A49&gt;0,VLOOKUP($A49,Düngemittel!$A$3:$J$422,7),"")</f>
        <v>13</v>
      </c>
      <c r="H49" s="443">
        <f>IF($A49&gt;0,VLOOKUP($A49,Düngemittel!$A$3:$J$422,8),"")</f>
        <v>0</v>
      </c>
      <c r="I49" s="383" t="e">
        <f>+VLOOKUP(B49,Preisabruf1!$D$1:$G$20,4,0)</f>
        <v>#N/A</v>
      </c>
      <c r="J49" s="444">
        <f t="shared" si="18"/>
        <v>0</v>
      </c>
      <c r="K49" s="445">
        <f t="shared" si="19"/>
        <v>0</v>
      </c>
      <c r="L49" s="445">
        <f t="shared" si="20"/>
        <v>0</v>
      </c>
      <c r="M49" s="458" t="e">
        <f>((I49-(E49*E69)-(G49*G69)))/F49</f>
        <v>#N/A</v>
      </c>
      <c r="N49" s="445">
        <f t="shared" si="22"/>
        <v>0.62763700181159443</v>
      </c>
      <c r="O49" s="445">
        <f>IF(+H49,+$H$69,0)</f>
        <v>0</v>
      </c>
      <c r="P49" s="446">
        <f>IF($A49&gt;0,VLOOKUP($A49,Düngemittel!$A$3:$J$422,9),"")</f>
        <v>0</v>
      </c>
      <c r="Q49" s="447"/>
      <c r="R49" s="430" t="e">
        <f t="shared" si="21"/>
        <v>#N/A</v>
      </c>
      <c r="S49" s="424" t="s">
        <v>31</v>
      </c>
      <c r="T49" s="390"/>
      <c r="U49" t="e">
        <f t="shared" si="3"/>
        <v>#N/A</v>
      </c>
    </row>
    <row r="50" spans="1:21" customFormat="1" ht="12.75" hidden="1" customHeight="1" thickBot="1" x14ac:dyDescent="0.45">
      <c r="A50" s="387">
        <v>98</v>
      </c>
      <c r="B50" s="449" t="str">
        <f>IF(A50&gt;0,VLOOKUP(A50,Düngemittel!$A$3:$J$1101,2),"")</f>
        <v>Fastlime</v>
      </c>
      <c r="C50" s="450">
        <f>IF($A50&gt;0,VLOOKUP($A50,Düngemittel!$A$3:$J$422,3),"")</f>
        <v>0</v>
      </c>
      <c r="D50" s="451">
        <f>IF($A50&gt;0,VLOOKUP($A50,Düngemittel!$A$3:$J$422,4),"")</f>
        <v>0</v>
      </c>
      <c r="E50" s="451">
        <f>IF($A50&gt;0,VLOOKUP($A50,Düngemittel!$A$3:$J$422,5),"")</f>
        <v>0</v>
      </c>
      <c r="F50" s="451">
        <f>IF($A50&gt;0,VLOOKUP($A50,Düngemittel!$A$3:$J$422,6),"")</f>
        <v>20</v>
      </c>
      <c r="G50" s="451">
        <f>IF($A50&gt;0,VLOOKUP($A50,Düngemittel!$A$3:$J$422,7),"")</f>
        <v>0</v>
      </c>
      <c r="H50" s="457">
        <f>IF($A50&gt;0,VLOOKUP($A50,Düngemittel!$A$3:$J$422,8),"")</f>
        <v>35</v>
      </c>
      <c r="I50" s="385" t="e">
        <f>+VLOOKUP(B50,Preisabruf1!$D$1:$G$20,4,0)</f>
        <v>#N/A</v>
      </c>
      <c r="J50" s="453">
        <f t="shared" si="18"/>
        <v>0</v>
      </c>
      <c r="K50" s="454">
        <f t="shared" si="19"/>
        <v>0</v>
      </c>
      <c r="L50" s="454">
        <f t="shared" si="20"/>
        <v>0</v>
      </c>
      <c r="M50" s="459" t="e">
        <f>((I50-(H50*H69))/F50)</f>
        <v>#N/A</v>
      </c>
      <c r="N50" s="454">
        <f t="shared" si="22"/>
        <v>0</v>
      </c>
      <c r="O50" s="454">
        <f>IF(+H50,+$H$69,0)</f>
        <v>9.2604166666666668E-2</v>
      </c>
      <c r="P50" s="455">
        <f>IF($A50&gt;0,VLOOKUP($A50,Düngemittel!$A$3:$J$422,9),"")</f>
        <v>0</v>
      </c>
      <c r="Q50" s="456"/>
      <c r="R50" s="435" t="e">
        <f t="shared" si="21"/>
        <v>#N/A</v>
      </c>
      <c r="S50" s="436" t="s">
        <v>31</v>
      </c>
      <c r="T50" s="390"/>
      <c r="U50" t="e">
        <f t="shared" si="3"/>
        <v>#N/A</v>
      </c>
    </row>
    <row r="51" spans="1:21" ht="12.75" customHeight="1" thickTop="1" x14ac:dyDescent="0.4">
      <c r="A51" s="695"/>
      <c r="B51" s="695" t="s">
        <v>34</v>
      </c>
      <c r="C51" s="694"/>
      <c r="D51" s="737"/>
      <c r="E51" s="737"/>
      <c r="F51" s="737"/>
      <c r="G51" s="698"/>
      <c r="H51" s="733" t="s">
        <v>8</v>
      </c>
      <c r="I51" s="734"/>
      <c r="J51" s="738"/>
      <c r="K51" s="739"/>
      <c r="L51" s="739"/>
      <c r="M51" s="739"/>
      <c r="N51" s="739"/>
      <c r="O51" s="739"/>
      <c r="P51" s="700"/>
      <c r="Q51" s="758"/>
      <c r="R51" s="702">
        <f>+H69</f>
        <v>9.2604166666666668E-2</v>
      </c>
      <c r="S51" s="759" t="s">
        <v>30</v>
      </c>
      <c r="T51" s="439"/>
      <c r="U51">
        <v>1</v>
      </c>
    </row>
    <row r="52" spans="1:21" customFormat="1" ht="12.75" hidden="1" customHeight="1" x14ac:dyDescent="0.4">
      <c r="A52" s="387">
        <v>81</v>
      </c>
      <c r="B52" s="440" t="str">
        <f>IF(A52&gt;0,VLOOKUP(A52,Düngemittel!$A$3:$J$1101,2),"")</f>
        <v>Kohlensaurer Kalk 85</v>
      </c>
      <c r="C52" s="441">
        <f>IF($A52&gt;0,VLOOKUP($A52,Düngemittel!$A$3:$J$422,3),"")</f>
        <v>0</v>
      </c>
      <c r="D52" s="442">
        <f>IF($A52&gt;0,VLOOKUP($A52,Düngemittel!$A$3:$J$422,4),"")</f>
        <v>0</v>
      </c>
      <c r="E52" s="442">
        <f>IF($A52&gt;0,VLOOKUP($A52,Düngemittel!$A$3:$J$422,5),"")</f>
        <v>0</v>
      </c>
      <c r="F52" s="442">
        <f>IF($A52&gt;0,VLOOKUP($A52,Düngemittel!$A$3:$J$422,6),"")</f>
        <v>0</v>
      </c>
      <c r="G52" s="442">
        <f>IF($A52&gt;0,VLOOKUP($A52,Düngemittel!$A$3:$J$422,7),"")</f>
        <v>0</v>
      </c>
      <c r="H52" s="443">
        <f>IF($A52&gt;0,VLOOKUP($A52,Düngemittel!$A$3:$J$422,8),"")</f>
        <v>48</v>
      </c>
      <c r="I52" s="383" t="e">
        <f>+VLOOKUP(B52,Preisabruf1!$D$1:$G$20,4,0)</f>
        <v>#N/A</v>
      </c>
      <c r="J52" s="460">
        <f t="shared" ref="J52:J58" si="23">IF(C52,+$C$69,0)</f>
        <v>0</v>
      </c>
      <c r="K52" s="461">
        <f t="shared" ref="K52:K58" si="24">IF(D52,+$D$69,0)</f>
        <v>0</v>
      </c>
      <c r="L52" s="461">
        <f t="shared" ref="L52:L58" si="25">IF(E52,+$E$69,0)</f>
        <v>0</v>
      </c>
      <c r="M52" s="461">
        <f t="shared" ref="M52:M58" si="26">IF(F52,+$F$69,0)</f>
        <v>0</v>
      </c>
      <c r="N52" s="445">
        <f t="shared" si="22"/>
        <v>0</v>
      </c>
      <c r="O52" s="362" t="e">
        <f>I52/H52</f>
        <v>#N/A</v>
      </c>
      <c r="P52" s="446"/>
      <c r="Q52" s="462"/>
      <c r="R52" s="427" t="e">
        <f>+O52/$R$51*100</f>
        <v>#N/A</v>
      </c>
      <c r="S52" s="420" t="s">
        <v>35</v>
      </c>
      <c r="T52" s="390"/>
      <c r="U52" t="e">
        <f t="shared" si="3"/>
        <v>#N/A</v>
      </c>
    </row>
    <row r="53" spans="1:21" s="574" customFormat="1" ht="12.75" customHeight="1" x14ac:dyDescent="0.4">
      <c r="A53" s="661">
        <v>83</v>
      </c>
      <c r="B53" s="633" t="str">
        <f>IF(A53&gt;0,VLOOKUP(A53,Düngemittel!$A$3:$J$1101,2),"")</f>
        <v>Kohlensauer Kalk, 80 % CaCO3 + 5 MgCO3</v>
      </c>
      <c r="C53" s="662">
        <f>IF($A53&gt;0,VLOOKUP($A53,Düngemittel!$A$3:$J$422,3),"")</f>
        <v>0</v>
      </c>
      <c r="D53" s="663">
        <f>IF($A53&gt;0,VLOOKUP($A53,Düngemittel!$A$3:$J$422,4),"")</f>
        <v>0</v>
      </c>
      <c r="E53" s="663">
        <f>IF($A53&gt;0,VLOOKUP($A53,Düngemittel!$A$3:$J$422,5),"")</f>
        <v>0</v>
      </c>
      <c r="F53" s="690">
        <f>IF($A53&gt;0,VLOOKUP($A53,Düngemittel!$A$3:$J$422,6),"")</f>
        <v>2</v>
      </c>
      <c r="G53" s="691">
        <f>IF($A53&gt;0,VLOOKUP($A53,Düngemittel!$A$3:$J$422,7),"")</f>
        <v>0</v>
      </c>
      <c r="H53" s="692">
        <f>IF($A53&gt;0,VLOOKUP($A53,Düngemittel!$A$3:$J$422,8),"")</f>
        <v>48</v>
      </c>
      <c r="I53" s="693">
        <f>+VLOOKUP(B53,Preisabruf!$D$1:$G$22,4,0)</f>
        <v>5.9249999999999998</v>
      </c>
      <c r="J53" s="637">
        <f t="shared" si="23"/>
        <v>0</v>
      </c>
      <c r="K53" s="639">
        <f t="shared" si="24"/>
        <v>0</v>
      </c>
      <c r="L53" s="639">
        <f t="shared" si="25"/>
        <v>0</v>
      </c>
      <c r="M53" s="639">
        <f>IF(F53,+$F$69,0)</f>
        <v>0.75789039855072449</v>
      </c>
      <c r="N53" s="639">
        <f t="shared" si="22"/>
        <v>0</v>
      </c>
      <c r="O53" s="760">
        <f>((I53-(F53*$F$69))/H53)</f>
        <v>9.1858733393719805E-2</v>
      </c>
      <c r="P53" s="640">
        <f>IF($A53&gt;0,VLOOKUP($A53,Düngemittel!$A$3:$J$422,9),"")</f>
        <v>0</v>
      </c>
      <c r="Q53" s="647"/>
      <c r="R53" s="810">
        <f>+O53/$R$51*100</f>
        <v>99.195032686131626</v>
      </c>
      <c r="S53" s="808" t="s">
        <v>31</v>
      </c>
      <c r="T53" s="390"/>
      <c r="U53">
        <f t="shared" si="3"/>
        <v>1</v>
      </c>
    </row>
    <row r="54" spans="1:21" customFormat="1" ht="12.75" hidden="1" customHeight="1" x14ac:dyDescent="0.4">
      <c r="A54" s="387">
        <v>84</v>
      </c>
      <c r="B54" s="440" t="str">
        <f>IF(A54&gt;0,VLOOKUP(A54,Düngemittel!$A$3:$J$1101,2),"")</f>
        <v>Kohlensaurer Kalk 70+15</v>
      </c>
      <c r="C54" s="441">
        <f>IF($A54&gt;0,VLOOKUP($A54,Düngemittel!$A$3:$J$422,3),"")</f>
        <v>0</v>
      </c>
      <c r="D54" s="442">
        <f>IF($A54&gt;0,VLOOKUP($A54,Düngemittel!$A$3:$J$422,4),"")</f>
        <v>0</v>
      </c>
      <c r="E54" s="442">
        <f>IF($A54&gt;0,VLOOKUP($A54,Düngemittel!$A$3:$J$422,5),"")</f>
        <v>0</v>
      </c>
      <c r="F54" s="442">
        <f>IF($A54&gt;0,VLOOKUP($A54,Düngemittel!$A$3:$J$422,6),"")</f>
        <v>7</v>
      </c>
      <c r="G54" s="442">
        <f>IF($A54&gt;0,VLOOKUP($A54,Düngemittel!$A$3:$J$422,7),"")</f>
        <v>0</v>
      </c>
      <c r="H54" s="443">
        <f>IF($A54&gt;0,VLOOKUP($A54,Düngemittel!$A$3:$J$422,8),"")</f>
        <v>49</v>
      </c>
      <c r="I54" s="383" t="e">
        <f>+VLOOKUP(B54,Preisabruf1!$D$1:$G$20,4,0)</f>
        <v>#N/A</v>
      </c>
      <c r="J54" s="444">
        <f t="shared" si="23"/>
        <v>0</v>
      </c>
      <c r="K54" s="445">
        <f t="shared" si="24"/>
        <v>0</v>
      </c>
      <c r="L54" s="445">
        <f t="shared" si="25"/>
        <v>0</v>
      </c>
      <c r="M54" s="445">
        <f t="shared" si="26"/>
        <v>0.75789039855072449</v>
      </c>
      <c r="N54" s="445">
        <f t="shared" si="22"/>
        <v>0</v>
      </c>
      <c r="O54" s="363" t="e">
        <f t="shared" ref="O54:O58" si="27">IF(I54=0,0,(+I54-(C54*$C$69)-(D54*$D$69)-(E54*$E$69)-(F54*$F$69)-(G54*$G$69))/H54)</f>
        <v>#N/A</v>
      </c>
      <c r="P54" s="446">
        <f>IF($A54&gt;0,VLOOKUP($A54,Düngemittel!$A$3:$J$422,9),"")</f>
        <v>0</v>
      </c>
      <c r="Q54" s="447"/>
      <c r="R54" s="430" t="e">
        <f t="shared" ref="R54:R59" si="28">+O54/$R$51*100</f>
        <v>#N/A</v>
      </c>
      <c r="S54" s="424" t="s">
        <v>31</v>
      </c>
      <c r="T54" s="390"/>
      <c r="U54" t="e">
        <f t="shared" si="3"/>
        <v>#N/A</v>
      </c>
    </row>
    <row r="55" spans="1:21" customFormat="1" ht="12.75" hidden="1" customHeight="1" x14ac:dyDescent="0.4">
      <c r="A55" s="387">
        <v>90</v>
      </c>
      <c r="B55" s="440" t="str">
        <f>IF(A55&gt;0,VLOOKUP(A55,Düngemittel!$A$3:$J$1101,2),"")</f>
        <v>Branntkalk 75</v>
      </c>
      <c r="C55" s="441">
        <f>IF($A55&gt;0,VLOOKUP($A55,Düngemittel!$A$3:$J$422,3),"")</f>
        <v>0</v>
      </c>
      <c r="D55" s="442">
        <f>IF($A55&gt;0,VLOOKUP($A55,Düngemittel!$A$3:$J$422,4),"")</f>
        <v>0</v>
      </c>
      <c r="E55" s="442">
        <f>IF($A55&gt;0,VLOOKUP($A55,Düngemittel!$A$3:$J$422,5),"")</f>
        <v>0</v>
      </c>
      <c r="F55" s="442">
        <f>IF($A55&gt;0,VLOOKUP($A55,Düngemittel!$A$3:$J$422,6),"")</f>
        <v>0</v>
      </c>
      <c r="G55" s="442">
        <f>IF($A55&gt;0,VLOOKUP($A55,Düngemittel!$A$3:$J$422,7),"")</f>
        <v>0</v>
      </c>
      <c r="H55" s="443">
        <f>IF($A55&gt;0,VLOOKUP($A55,Düngemittel!$A$3:$J$422,8),"")</f>
        <v>75</v>
      </c>
      <c r="I55" s="383" t="e">
        <f>+VLOOKUP(B55,Preisabruf1!$D$1:$G$20,4,0)</f>
        <v>#N/A</v>
      </c>
      <c r="J55" s="444">
        <f t="shared" si="23"/>
        <v>0</v>
      </c>
      <c r="K55" s="445">
        <f t="shared" si="24"/>
        <v>0</v>
      </c>
      <c r="L55" s="445">
        <f t="shared" si="25"/>
        <v>0</v>
      </c>
      <c r="M55" s="445">
        <f t="shared" si="26"/>
        <v>0</v>
      </c>
      <c r="N55" s="445">
        <f t="shared" si="22"/>
        <v>0</v>
      </c>
      <c r="O55" s="363" t="e">
        <f t="shared" si="27"/>
        <v>#N/A</v>
      </c>
      <c r="P55" s="446">
        <f>IF($A55&gt;0,VLOOKUP($A55,Düngemittel!$A$3:$J$422,9),"")</f>
        <v>0</v>
      </c>
      <c r="Q55" s="447"/>
      <c r="R55" s="430" t="e">
        <f t="shared" si="28"/>
        <v>#N/A</v>
      </c>
      <c r="S55" s="424" t="s">
        <v>31</v>
      </c>
      <c r="T55" s="390"/>
      <c r="U55" t="e">
        <f t="shared" si="3"/>
        <v>#N/A</v>
      </c>
    </row>
    <row r="56" spans="1:21" customFormat="1" ht="12.75" hidden="1" customHeight="1" x14ac:dyDescent="0.4">
      <c r="A56" s="387">
        <v>91</v>
      </c>
      <c r="B56" s="440" t="str">
        <f>IF(A56&gt;0,VLOOKUP(A56,Düngemittel!$A$3:$J$1101,2),"")</f>
        <v>Konverterkalk</v>
      </c>
      <c r="C56" s="441">
        <f>IF($A56&gt;0,VLOOKUP($A56,Düngemittel!$A$3:$J$422,3),"")</f>
        <v>0</v>
      </c>
      <c r="D56" s="442">
        <f>IF($A56&gt;0,VLOOKUP($A56,Düngemittel!$A$3:$J$422,4),"")</f>
        <v>0</v>
      </c>
      <c r="E56" s="442">
        <f>IF($A56&gt;0,VLOOKUP($A56,Düngemittel!$A$3:$J$422,5),"")</f>
        <v>0</v>
      </c>
      <c r="F56" s="442">
        <f>IF($A56&gt;0,VLOOKUP($A56,Düngemittel!$A$3:$J$422,6),"")</f>
        <v>2</v>
      </c>
      <c r="G56" s="442">
        <f>IF($A56&gt;0,VLOOKUP($A56,Düngemittel!$A$3:$J$422,7),"")</f>
        <v>0</v>
      </c>
      <c r="H56" s="443">
        <f>IF($A56&gt;0,VLOOKUP($A56,Düngemittel!$A$3:$J$422,8),"")</f>
        <v>45</v>
      </c>
      <c r="I56" s="383" t="e">
        <f>+VLOOKUP(B56,Preisabruf1!$D$1:$G$20,4,0)</f>
        <v>#N/A</v>
      </c>
      <c r="J56" s="444">
        <f t="shared" si="23"/>
        <v>0</v>
      </c>
      <c r="K56" s="445">
        <f t="shared" si="24"/>
        <v>0</v>
      </c>
      <c r="L56" s="445">
        <f t="shared" si="25"/>
        <v>0</v>
      </c>
      <c r="M56" s="445">
        <f t="shared" si="26"/>
        <v>0.75789039855072449</v>
      </c>
      <c r="N56" s="445">
        <f t="shared" si="22"/>
        <v>0</v>
      </c>
      <c r="O56" s="363" t="e">
        <f t="shared" si="27"/>
        <v>#N/A</v>
      </c>
      <c r="P56" s="446">
        <f>IF($A56&gt;0,VLOOKUP($A56,Düngemittel!$A$3:$J$422,9),"")</f>
        <v>2.5</v>
      </c>
      <c r="Q56" s="447"/>
      <c r="R56" s="430" t="e">
        <f t="shared" si="28"/>
        <v>#N/A</v>
      </c>
      <c r="S56" s="424" t="s">
        <v>31</v>
      </c>
      <c r="T56" s="390"/>
      <c r="U56" t="e">
        <f t="shared" si="3"/>
        <v>#N/A</v>
      </c>
    </row>
    <row r="57" spans="1:21" customFormat="1" ht="12.75" hidden="1" customHeight="1" x14ac:dyDescent="0.4">
      <c r="A57" s="387">
        <v>92</v>
      </c>
      <c r="B57" s="440" t="str">
        <f>IF(A57&gt;0,VLOOKUP(A57,Düngemittel!$A$3:$J$1101,2),"")</f>
        <v>Konverterkalk feucht körnig</v>
      </c>
      <c r="C57" s="441">
        <f>IF($A57&gt;0,VLOOKUP($A57,Düngemittel!$A$3:$J$422,3),"")</f>
        <v>0</v>
      </c>
      <c r="D57" s="442">
        <f>IF($A57&gt;0,VLOOKUP($A57,Düngemittel!$A$3:$J$422,4),"")</f>
        <v>0</v>
      </c>
      <c r="E57" s="442">
        <f>IF($A57&gt;0,VLOOKUP($A57,Düngemittel!$A$3:$J$422,5),"")</f>
        <v>0</v>
      </c>
      <c r="F57" s="442">
        <f>IF($A57&gt;0,VLOOKUP($A57,Düngemittel!$A$3:$J$422,6),"")</f>
        <v>2</v>
      </c>
      <c r="G57" s="442">
        <f>IF($A57&gt;0,VLOOKUP($A57,Düngemittel!$A$3:$J$422,7),"")</f>
        <v>0</v>
      </c>
      <c r="H57" s="443">
        <f>IF($A57&gt;0,VLOOKUP($A57,Düngemittel!$A$3:$J$422,8),"")</f>
        <v>43</v>
      </c>
      <c r="I57" s="383" t="e">
        <f>+VLOOKUP(B57,Preisabruf1!$D$1:$G$20,4,0)</f>
        <v>#N/A</v>
      </c>
      <c r="J57" s="444">
        <f t="shared" si="23"/>
        <v>0</v>
      </c>
      <c r="K57" s="445">
        <f t="shared" si="24"/>
        <v>0</v>
      </c>
      <c r="L57" s="445">
        <f t="shared" si="25"/>
        <v>0</v>
      </c>
      <c r="M57" s="445">
        <f t="shared" si="26"/>
        <v>0.75789039855072449</v>
      </c>
      <c r="N57" s="445">
        <f t="shared" si="22"/>
        <v>0</v>
      </c>
      <c r="O57" s="363" t="e">
        <f t="shared" si="27"/>
        <v>#N/A</v>
      </c>
      <c r="P57" s="446">
        <f>IF($A57&gt;0,VLOOKUP($A57,Düngemittel!$A$3:$J$422,9),"")</f>
        <v>2.5</v>
      </c>
      <c r="Q57" s="447"/>
      <c r="R57" s="430" t="e">
        <f t="shared" si="28"/>
        <v>#N/A</v>
      </c>
      <c r="S57" s="424" t="s">
        <v>31</v>
      </c>
      <c r="T57" s="390"/>
      <c r="U57" t="e">
        <f t="shared" si="3"/>
        <v>#N/A</v>
      </c>
    </row>
    <row r="58" spans="1:21" customFormat="1" ht="12.75" hidden="1" customHeight="1" x14ac:dyDescent="0.4">
      <c r="A58" s="387">
        <v>93</v>
      </c>
      <c r="B58" s="440" t="str">
        <f>IF(A58&gt;0,VLOOKUP(A58,Düngemittel!$A$3:$J$1101,2),"")</f>
        <v>Hüttenkalk fein</v>
      </c>
      <c r="C58" s="441">
        <f>IF($A58&gt;0,VLOOKUP($A58,Düngemittel!$A$3:$J$422,3),"")</f>
        <v>0</v>
      </c>
      <c r="D58" s="442">
        <f>IF($A58&gt;0,VLOOKUP($A58,Düngemittel!$A$3:$J$422,4),"")</f>
        <v>0</v>
      </c>
      <c r="E58" s="442">
        <f>IF($A58&gt;0,VLOOKUP($A58,Düngemittel!$A$3:$J$422,5),"")</f>
        <v>0</v>
      </c>
      <c r="F58" s="442">
        <f>IF($A58&gt;0,VLOOKUP($A58,Düngemittel!$A$3:$J$422,6),"")</f>
        <v>7</v>
      </c>
      <c r="G58" s="442">
        <f>IF($A58&gt;0,VLOOKUP($A58,Düngemittel!$A$3:$J$422,7),"")</f>
        <v>0</v>
      </c>
      <c r="H58" s="443">
        <f>IF($A58&gt;0,VLOOKUP($A58,Düngemittel!$A$3:$J$422,8),"")</f>
        <v>44</v>
      </c>
      <c r="I58" s="383" t="e">
        <f>+VLOOKUP(B58,Preisabruf1!$D$1:$G$20,4,0)</f>
        <v>#N/A</v>
      </c>
      <c r="J58" s="444">
        <f t="shared" si="23"/>
        <v>0</v>
      </c>
      <c r="K58" s="445">
        <f t="shared" si="24"/>
        <v>0</v>
      </c>
      <c r="L58" s="445">
        <f t="shared" si="25"/>
        <v>0</v>
      </c>
      <c r="M58" s="445">
        <f t="shared" si="26"/>
        <v>0.75789039855072449</v>
      </c>
      <c r="N58" s="445">
        <f t="shared" si="22"/>
        <v>0</v>
      </c>
      <c r="O58" s="363" t="e">
        <f t="shared" si="27"/>
        <v>#N/A</v>
      </c>
      <c r="P58" s="446">
        <f>IF($A58&gt;0,VLOOKUP($A58,Düngemittel!$A$3:$J$422,9),"")</f>
        <v>1.5</v>
      </c>
      <c r="Q58" s="447"/>
      <c r="R58" s="430" t="e">
        <f t="shared" si="28"/>
        <v>#N/A</v>
      </c>
      <c r="S58" s="424" t="s">
        <v>31</v>
      </c>
      <c r="T58" s="390"/>
      <c r="U58" t="e">
        <f t="shared" si="3"/>
        <v>#N/A</v>
      </c>
    </row>
    <row r="59" spans="1:21" customFormat="1" ht="12.75" hidden="1" customHeight="1" thickBot="1" x14ac:dyDescent="0.45">
      <c r="A59" s="387">
        <v>97</v>
      </c>
      <c r="B59" s="449" t="str">
        <f>IF(A59&gt;0,VLOOKUP(A59,Düngemittel!$A$3:$J$1101,2),"")</f>
        <v>Carbokalk 45</v>
      </c>
      <c r="C59" s="463">
        <f>IF($A59&gt;0,VLOOKUP($A59,Düngemittel!$A$3:$J$422,3),"")</f>
        <v>0.35</v>
      </c>
      <c r="D59" s="464">
        <f>IF($A59&gt;0,VLOOKUP($A59,Düngemittel!$A$3:$J$422,4),"")</f>
        <v>1.1000000000000001</v>
      </c>
      <c r="E59" s="464">
        <f>IF($A59&gt;0,VLOOKUP($A59,Düngemittel!$A$3:$J$422,5),"")</f>
        <v>0</v>
      </c>
      <c r="F59" s="464">
        <f>IF($A59&gt;0,VLOOKUP($A59,Düngemittel!$A$3:$J$422,6),"")</f>
        <v>0.8</v>
      </c>
      <c r="G59" s="464">
        <f>IF($A59&gt;0,VLOOKUP($A59,Düngemittel!$A$3:$J$422,7),"")</f>
        <v>0</v>
      </c>
      <c r="H59" s="457">
        <f>IF($A59&gt;0,VLOOKUP($A59,Düngemittel!$A$3:$J$422,8),"")</f>
        <v>25</v>
      </c>
      <c r="I59" s="385" t="e">
        <f>+VLOOKUP(B59,Preisabruf1!$D$1:$G$20,4,0)</f>
        <v>#N/A</v>
      </c>
      <c r="J59" s="453">
        <f>IF(C59,+$C$69,0)</f>
        <v>1.179560688405797</v>
      </c>
      <c r="K59" s="454">
        <f>IF(D59,+$D$69,0)</f>
        <v>1.117105781348456</v>
      </c>
      <c r="L59" s="454">
        <f>IF(E59,+$E$69,0)</f>
        <v>0</v>
      </c>
      <c r="M59" s="454">
        <f>IF(F59,+$F$69,0)</f>
        <v>0.75789039855072449</v>
      </c>
      <c r="N59" s="454">
        <f>IF(+G59,+$G$69,0)</f>
        <v>0</v>
      </c>
      <c r="O59" s="389" t="e">
        <f>IF(I59=0,0,(+I59-(C59*$C$69)-(D59*$D$69)-(E59*$E$69)-(F59*$F$69)-(G59*$G$69))/H59)</f>
        <v>#N/A</v>
      </c>
      <c r="P59" s="465">
        <f>IF($A59&gt;0,VLOOKUP($A59,Düngemittel!$A$3:$J$422,9),"")</f>
        <v>0</v>
      </c>
      <c r="Q59" s="456"/>
      <c r="R59" s="435" t="e">
        <f t="shared" si="28"/>
        <v>#N/A</v>
      </c>
      <c r="S59" s="436" t="s">
        <v>31</v>
      </c>
      <c r="T59" s="390"/>
      <c r="U59" t="e">
        <f t="shared" si="3"/>
        <v>#N/A</v>
      </c>
    </row>
    <row r="60" spans="1:21" ht="12.75" customHeight="1" x14ac:dyDescent="0.45">
      <c r="A60" s="695"/>
      <c r="B60" s="695" t="s">
        <v>36</v>
      </c>
      <c r="C60" s="694"/>
      <c r="D60" s="737"/>
      <c r="E60" s="737"/>
      <c r="F60" s="737"/>
      <c r="G60" s="698"/>
      <c r="H60" s="733"/>
      <c r="I60" s="734"/>
      <c r="J60" s="738"/>
      <c r="K60" s="739"/>
      <c r="L60" s="739"/>
      <c r="M60" s="739"/>
      <c r="N60" s="739"/>
      <c r="O60" s="736"/>
      <c r="P60" s="700"/>
      <c r="Q60" s="758"/>
      <c r="R60" s="702">
        <f>G69</f>
        <v>0.62763700181159443</v>
      </c>
      <c r="S60" s="759" t="s">
        <v>30</v>
      </c>
      <c r="T60" s="439"/>
      <c r="U60" s="1">
        <v>1</v>
      </c>
    </row>
    <row r="61" spans="1:21" s="574" customFormat="1" ht="12.75" customHeight="1" x14ac:dyDescent="0.4">
      <c r="A61" s="661">
        <v>105</v>
      </c>
      <c r="B61" s="633" t="str">
        <f>IF(A61&gt;0,VLOOKUP(A61,Düngemittel!$A$3:$J$1101,2),"")</f>
        <v>Piamon</v>
      </c>
      <c r="C61" s="662">
        <f>IF($A61&gt;0,VLOOKUP($A61,Düngemittel!$A$3:$J$422,3),"")</f>
        <v>33</v>
      </c>
      <c r="D61" s="663">
        <f>IF($A61&gt;0,VLOOKUP($A61,Düngemittel!$A$3:$J$422,4),"")</f>
        <v>0</v>
      </c>
      <c r="E61" s="663">
        <f>IF($A61&gt;0,VLOOKUP($A61,Düngemittel!$A$3:$J$422,5),"")</f>
        <v>0</v>
      </c>
      <c r="F61" s="663">
        <f>IF($A61&gt;0,VLOOKUP($A61,Düngemittel!$A$3:$J$422,6),"")</f>
        <v>0</v>
      </c>
      <c r="G61" s="663">
        <f>IF($A61&gt;0,VLOOKUP($A61,Düngemittel!$A$3:$J$422,7),"")</f>
        <v>12</v>
      </c>
      <c r="H61" s="645">
        <f>IF($A61&gt;0,VLOOKUP($A61,Düngemittel!$A$3:$J$422,8),"")</f>
        <v>-40</v>
      </c>
      <c r="I61" s="636">
        <f>+VLOOKUP(B61,Preisabruf!$D$1:$G$22,4,0)</f>
        <v>44.75</v>
      </c>
      <c r="J61" s="664">
        <f>IF(C61,+$C$69,0)</f>
        <v>1.179560688405797</v>
      </c>
      <c r="K61" s="638">
        <f t="shared" ref="K61:K67" si="29">IF(D61,+$D$69,0)</f>
        <v>0</v>
      </c>
      <c r="L61" s="638">
        <f t="shared" ref="L61:L67" si="30">IF(E61,+$E$69,0)</f>
        <v>0</v>
      </c>
      <c r="M61" s="638">
        <f t="shared" ref="M61:M67" si="31">IF(F61,+$F$69,0)</f>
        <v>0</v>
      </c>
      <c r="N61" s="668">
        <f>((I61+(-H61*$H$69)-(C61*$C$69)))/G61</f>
        <v>0.79405532910628018</v>
      </c>
      <c r="O61" s="639">
        <f t="shared" ref="O61:O67" si="32">IF(+H61,+$H$69,0)</f>
        <v>9.2604166666666668E-2</v>
      </c>
      <c r="P61" s="640">
        <f>IF($A61&gt;0,VLOOKUP($A61,Düngemittel!$A$3:$J$422,9),"")</f>
        <v>0</v>
      </c>
      <c r="Q61" s="641"/>
      <c r="R61" s="642">
        <f>+N61/$R$60*100</f>
        <v>126.51505994935614</v>
      </c>
      <c r="S61" s="807" t="s">
        <v>31</v>
      </c>
      <c r="T61" s="390"/>
      <c r="U61">
        <f t="shared" si="3"/>
        <v>1</v>
      </c>
    </row>
    <row r="62" spans="1:21" s="574" customFormat="1" ht="12.75" customHeight="1" x14ac:dyDescent="0.4">
      <c r="A62" s="661">
        <v>9</v>
      </c>
      <c r="B62" s="633" t="str">
        <f>IF(A62&gt;0,VLOOKUP(A62,Düngemittel!$A$3:$J$1101,2),"")</f>
        <v>Schwefelsaures Amoniak 21% N + 24% S,</v>
      </c>
      <c r="C62" s="662">
        <f>IF($A62&gt;0,VLOOKUP($A62,Düngemittel!$A$3:$J$422,3),"")</f>
        <v>21</v>
      </c>
      <c r="D62" s="663">
        <f>IF($A62&gt;0,VLOOKUP($A62,Düngemittel!$A$3:$J$422,4),"")</f>
        <v>0</v>
      </c>
      <c r="E62" s="663">
        <f>IF($A62&gt;0,VLOOKUP($A62,Düngemittel!$A$3:$J$422,5),"")</f>
        <v>0</v>
      </c>
      <c r="F62" s="663">
        <f>IF($A62&gt;0,VLOOKUP($A62,Düngemittel!$A$3:$J$422,6),"")</f>
        <v>0</v>
      </c>
      <c r="G62" s="663">
        <f>IF($A62&gt;0,VLOOKUP($A62,Düngemittel!$A$3:$J$422,7),"")</f>
        <v>24</v>
      </c>
      <c r="H62" s="645">
        <f>IF($A62&gt;0,VLOOKUP($A62,Düngemittel!$A$3:$J$422,8),"")</f>
        <v>-63</v>
      </c>
      <c r="I62" s="636">
        <f>+VLOOKUP(B62,Preisabruf!$D$1:$G$22,4,0)</f>
        <v>34</v>
      </c>
      <c r="J62" s="637">
        <f t="shared" ref="J62:J67" si="33">IF(C62,+$C$69,0)</f>
        <v>1.179560688405797</v>
      </c>
      <c r="K62" s="639">
        <f t="shared" si="29"/>
        <v>0</v>
      </c>
      <c r="L62" s="639">
        <f t="shared" si="30"/>
        <v>0</v>
      </c>
      <c r="M62" s="639">
        <f t="shared" si="31"/>
        <v>0</v>
      </c>
      <c r="N62" s="669">
        <f>((I62+(-H62*$H$69)-(C62*$C$69)))/G62</f>
        <v>0.62763700181159443</v>
      </c>
      <c r="O62" s="639">
        <f t="shared" si="32"/>
        <v>9.2604166666666668E-2</v>
      </c>
      <c r="P62" s="640">
        <f>IF($A62&gt;0,VLOOKUP($A62,Düngemittel!$A$3:$J$422,9),"")</f>
        <v>0</v>
      </c>
      <c r="Q62" s="647"/>
      <c r="R62" s="648">
        <f t="shared" ref="R62:R67" si="34">+N62/$R$60*100</f>
        <v>100</v>
      </c>
      <c r="S62" s="808" t="s">
        <v>31</v>
      </c>
      <c r="T62" s="390"/>
      <c r="U62">
        <f t="shared" si="3"/>
        <v>1</v>
      </c>
    </row>
    <row r="63" spans="1:21" s="574" customFormat="1" ht="12.75" customHeight="1" x14ac:dyDescent="0.4">
      <c r="A63" s="661">
        <v>8</v>
      </c>
      <c r="B63" s="633" t="str">
        <f>IF(A63&gt;0,VLOOKUP(A63,Düngemittel!$A$3:$J$1101,2),"")</f>
        <v>Ammonsulfatsalpeter 26% N + 13 %S</v>
      </c>
      <c r="C63" s="662">
        <f>IF($A63&gt;0,VLOOKUP($A63,Düngemittel!$A$3:$J$422,3),"")</f>
        <v>26</v>
      </c>
      <c r="D63" s="663">
        <f>IF($A63&gt;0,VLOOKUP($A63,Düngemittel!$A$3:$J$422,4),"")</f>
        <v>0</v>
      </c>
      <c r="E63" s="663">
        <f>IF($A63&gt;0,VLOOKUP($A63,Düngemittel!$A$3:$J$422,5),"")</f>
        <v>0</v>
      </c>
      <c r="F63" s="663">
        <f>IF($A63&gt;0,VLOOKUP($A63,Düngemittel!$A$3:$J$422,6),"")</f>
        <v>0</v>
      </c>
      <c r="G63" s="663">
        <f>IF($A63&gt;0,VLOOKUP($A63,Düngemittel!$A$3:$J$422,7),"")</f>
        <v>14</v>
      </c>
      <c r="H63" s="645">
        <f>IF($A63&gt;0,VLOOKUP($A63,Düngemittel!$A$3:$J$422,8),"")</f>
        <v>-51</v>
      </c>
      <c r="I63" s="636">
        <f>+VLOOKUP(B63,Preisabruf!$D$1:$G$22,4,0)</f>
        <v>41.75</v>
      </c>
      <c r="J63" s="637">
        <f t="shared" si="33"/>
        <v>1.179560688405797</v>
      </c>
      <c r="K63" s="639">
        <f t="shared" si="29"/>
        <v>0</v>
      </c>
      <c r="L63" s="639">
        <f t="shared" si="30"/>
        <v>0</v>
      </c>
      <c r="M63" s="639">
        <f t="shared" si="31"/>
        <v>0</v>
      </c>
      <c r="N63" s="668">
        <f>((I63+(-H63*$H$69)-(C63*$C$69)))/G63</f>
        <v>1.12887390010352</v>
      </c>
      <c r="O63" s="639">
        <f t="shared" si="32"/>
        <v>9.2604166666666668E-2</v>
      </c>
      <c r="P63" s="640">
        <f>IF($A63&gt;0,VLOOKUP($A63,Düngemittel!$A$3:$J$422,9),"")</f>
        <v>0</v>
      </c>
      <c r="Q63" s="647"/>
      <c r="R63" s="648">
        <f t="shared" si="34"/>
        <v>179.86095415744595</v>
      </c>
      <c r="S63" s="808" t="s">
        <v>31</v>
      </c>
      <c r="T63" s="390"/>
      <c r="U63">
        <f t="shared" si="3"/>
        <v>1</v>
      </c>
    </row>
    <row r="64" spans="1:21" s="574" customFormat="1" ht="12.75" customHeight="1" x14ac:dyDescent="0.4">
      <c r="A64" s="661">
        <v>49</v>
      </c>
      <c r="B64" s="633" t="str">
        <f>IF(A64&gt;0,VLOOKUP(A64,Düngemittel!$A$3:$J$1101,2),"")</f>
        <v>40er Kornkali + Mg 40 % K2O+6%MgO</v>
      </c>
      <c r="C64" s="662">
        <f>IF($A64&gt;0,VLOOKUP($A64,Düngemittel!$A$3:$J$422,3),"")</f>
        <v>0</v>
      </c>
      <c r="D64" s="663">
        <f>IF($A64&gt;0,VLOOKUP($A64,Düngemittel!$A$3:$J$422,4),"")</f>
        <v>0</v>
      </c>
      <c r="E64" s="663">
        <f>IF($A64&gt;0,VLOOKUP($A64,Düngemittel!$A$3:$J$422,5),"")</f>
        <v>40</v>
      </c>
      <c r="F64" s="663">
        <f>IF($A64&gt;0,VLOOKUP($A64,Düngemittel!$A$3:$J$422,6),"")</f>
        <v>6</v>
      </c>
      <c r="G64" s="663">
        <f>IF($A64&gt;0,VLOOKUP($A64,Düngemittel!$A$3:$J$422,7),"")</f>
        <v>4</v>
      </c>
      <c r="H64" s="645">
        <f>IF($A64&gt;0,VLOOKUP($A64,Düngemittel!$A$3:$J$422,8),"")</f>
        <v>0</v>
      </c>
      <c r="I64" s="670">
        <f>+VLOOKUP(B64,Preisabruf!$D$1:$G$22,4,0)</f>
        <v>31.4</v>
      </c>
      <c r="J64" s="637">
        <f t="shared" si="33"/>
        <v>0</v>
      </c>
      <c r="K64" s="639">
        <f t="shared" si="29"/>
        <v>0</v>
      </c>
      <c r="L64" s="639">
        <f t="shared" si="30"/>
        <v>0.60855274003623183</v>
      </c>
      <c r="M64" s="639">
        <f t="shared" si="31"/>
        <v>0.75789039855072449</v>
      </c>
      <c r="N64" s="668">
        <f>((I64-(E64*$E$69)-(F64*$F$69))/G64)</f>
        <v>0.62763700181159465</v>
      </c>
      <c r="O64" s="639">
        <f t="shared" si="32"/>
        <v>0</v>
      </c>
      <c r="P64" s="640">
        <f>IF($A64&gt;0,VLOOKUP($A64,Düngemittel!$A$3:$J$422,9),"")</f>
        <v>0</v>
      </c>
      <c r="Q64" s="647"/>
      <c r="R64" s="648">
        <f t="shared" si="34"/>
        <v>100.00000000000004</v>
      </c>
      <c r="S64" s="808" t="s">
        <v>31</v>
      </c>
      <c r="T64" s="390"/>
      <c r="U64">
        <f t="shared" si="3"/>
        <v>1</v>
      </c>
    </row>
    <row r="65" spans="1:102" customFormat="1" ht="12.75" hidden="1" customHeight="1" thickBot="1" x14ac:dyDescent="0.45">
      <c r="A65" s="388"/>
      <c r="B65" s="449" t="str">
        <f>IF(A65&gt;0,VLOOKUP(A65,Düngemittel!$A$3:$J$1101,2),"")</f>
        <v/>
      </c>
      <c r="C65" s="450" t="str">
        <f>IF($A65&gt;0,VLOOKUP($A65,Düngemittel!$A$3:$J$422,3),"")</f>
        <v/>
      </c>
      <c r="D65" s="451" t="str">
        <f>IF($A65&gt;0,VLOOKUP($A65,Düngemittel!$A$3:$J$422,4),"")</f>
        <v/>
      </c>
      <c r="E65" s="451" t="str">
        <f>IF($A65&gt;0,VLOOKUP($A65,Düngemittel!$A$3:$J$422,5),"")</f>
        <v/>
      </c>
      <c r="F65" s="451" t="str">
        <f>IF($A65&gt;0,VLOOKUP($A65,Düngemittel!$A$3:$J$422,6),"")</f>
        <v/>
      </c>
      <c r="G65" s="451" t="str">
        <f>IF($A65&gt;0,VLOOKUP($A65,Düngemittel!$A$3:$J$422,7),"")</f>
        <v/>
      </c>
      <c r="H65" s="457" t="str">
        <f>IF($A65&gt;0,VLOOKUP($A65,Düngemittel!$A$3:$J$422,8),"")</f>
        <v/>
      </c>
      <c r="I65" s="384" t="e">
        <f>+VLOOKUP(B65,Preisabruf1!$D$1:$G$20,4,0)</f>
        <v>#N/A</v>
      </c>
      <c r="J65" s="453" t="e">
        <f t="shared" si="33"/>
        <v>#VALUE!</v>
      </c>
      <c r="K65" s="454" t="e">
        <f t="shared" si="29"/>
        <v>#VALUE!</v>
      </c>
      <c r="L65" s="454" t="e">
        <f t="shared" si="30"/>
        <v>#VALUE!</v>
      </c>
      <c r="M65" s="454" t="e">
        <f t="shared" si="31"/>
        <v>#VALUE!</v>
      </c>
      <c r="N65" s="466" t="e">
        <f>((I65-(E65*$E$69)-(F65*$F$69))/G65)</f>
        <v>#N/A</v>
      </c>
      <c r="O65" s="454" t="e">
        <f t="shared" si="32"/>
        <v>#VALUE!</v>
      </c>
      <c r="P65" s="455" t="str">
        <f>IF($A65&gt;0,VLOOKUP($A65,Düngemittel!$A$3:$J$422,9),"")</f>
        <v/>
      </c>
      <c r="Q65" s="456"/>
      <c r="R65" s="435" t="e">
        <f t="shared" si="34"/>
        <v>#N/A</v>
      </c>
      <c r="S65" s="436" t="s">
        <v>31</v>
      </c>
      <c r="T65" s="390"/>
      <c r="U65" t="e">
        <f t="shared" si="3"/>
        <v>#N/A</v>
      </c>
    </row>
    <row r="66" spans="1:102" customFormat="1" ht="12.75" hidden="1" customHeight="1" thickTop="1" x14ac:dyDescent="0.4">
      <c r="A66" s="387">
        <v>5</v>
      </c>
      <c r="B66" s="440" t="str">
        <f>IF(A66&gt;0,VLOOKUP(A66,Düngemittel!$A$3:$J$1101,2),"")</f>
        <v>Ammonnitrat-Harnstoff-Lösung AHL 28% N</v>
      </c>
      <c r="C66" s="441">
        <f>IF($A66&gt;0,VLOOKUP($A66,Düngemittel!$A$3:$J$422,3),"")</f>
        <v>28</v>
      </c>
      <c r="D66" s="442">
        <f>IF($A66&gt;0,VLOOKUP($A66,Düngemittel!$A$3:$J$422,4),"")</f>
        <v>0</v>
      </c>
      <c r="E66" s="442">
        <f>IF($A66&gt;0,VLOOKUP($A66,Düngemittel!$A$3:$J$422,5),"")</f>
        <v>0</v>
      </c>
      <c r="F66" s="442">
        <f>IF($A66&gt;0,VLOOKUP($A66,Düngemittel!$A$3:$J$422,6),"")</f>
        <v>0</v>
      </c>
      <c r="G66" s="442">
        <f>IF($A66&gt;0,VLOOKUP($A66,Düngemittel!$A$3:$J$422,7),"")</f>
        <v>0</v>
      </c>
      <c r="H66" s="443">
        <f>IF($A66&gt;0,VLOOKUP($A66,Düngemittel!$A$3:$J$422,8),"")</f>
        <v>-28</v>
      </c>
      <c r="I66" s="383">
        <v>0</v>
      </c>
      <c r="J66" s="444">
        <f t="shared" si="33"/>
        <v>1.179560688405797</v>
      </c>
      <c r="K66" s="445">
        <f t="shared" si="29"/>
        <v>0</v>
      </c>
      <c r="L66" s="445">
        <f t="shared" si="30"/>
        <v>0</v>
      </c>
      <c r="M66" s="445">
        <f t="shared" si="31"/>
        <v>0</v>
      </c>
      <c r="N66" s="458" t="e">
        <f>((I66-(E66*$E$69)-(F66*$F$69))/G66)</f>
        <v>#DIV/0!</v>
      </c>
      <c r="O66" s="445">
        <f t="shared" si="32"/>
        <v>9.2604166666666668E-2</v>
      </c>
      <c r="P66" s="446">
        <f>IF($A66&gt;0,VLOOKUP($A66,Düngemittel!$A$3:$J$422,9),"")</f>
        <v>0</v>
      </c>
      <c r="Q66" s="447"/>
      <c r="R66" s="430" t="e">
        <f t="shared" si="34"/>
        <v>#DIV/0!</v>
      </c>
      <c r="S66" s="424" t="s">
        <v>31</v>
      </c>
      <c r="T66" s="390"/>
      <c r="U66">
        <f t="shared" si="3"/>
        <v>0</v>
      </c>
    </row>
    <row r="67" spans="1:102" customFormat="1" ht="12.75" hidden="1" customHeight="1" thickBot="1" x14ac:dyDescent="0.45">
      <c r="A67" s="387">
        <v>8</v>
      </c>
      <c r="B67" s="449" t="str">
        <f>IF(A67&gt;0,VLOOKUP(A67,Düngemittel!$A$3:$J$1101,2),"")</f>
        <v>Ammonsulfatsalpeter 26% N + 13 %S</v>
      </c>
      <c r="C67" s="450">
        <f>IF($A67&gt;0,VLOOKUP($A67,Düngemittel!$A$3:$J$422,3),"")</f>
        <v>26</v>
      </c>
      <c r="D67" s="451">
        <f>IF($A67&gt;0,VLOOKUP($A67,Düngemittel!$A$3:$J$422,4),"")</f>
        <v>0</v>
      </c>
      <c r="E67" s="451">
        <f>IF($A67&gt;0,VLOOKUP($A67,Düngemittel!$A$3:$J$422,5),"")</f>
        <v>0</v>
      </c>
      <c r="F67" s="451">
        <f>IF($A67&gt;0,VLOOKUP($A67,Düngemittel!$A$3:$J$422,6),"")</f>
        <v>0</v>
      </c>
      <c r="G67" s="451">
        <f>IF($A67&gt;0,VLOOKUP($A67,Düngemittel!$A$3:$J$422,7),"")</f>
        <v>14</v>
      </c>
      <c r="H67" s="457">
        <f>IF($A67&gt;0,VLOOKUP($A67,Düngemittel!$A$3:$J$422,8),"")</f>
        <v>-51</v>
      </c>
      <c r="I67" s="385">
        <v>0</v>
      </c>
      <c r="J67" s="453">
        <f t="shared" si="33"/>
        <v>1.179560688405797</v>
      </c>
      <c r="K67" s="454">
        <f t="shared" si="29"/>
        <v>0</v>
      </c>
      <c r="L67" s="454">
        <f t="shared" si="30"/>
        <v>0</v>
      </c>
      <c r="M67" s="454">
        <f t="shared" si="31"/>
        <v>0</v>
      </c>
      <c r="N67" s="386">
        <f>((I67+(-H67*$H$69)-(C67*$C$69)))/G67</f>
        <v>-1.8532689570393373</v>
      </c>
      <c r="O67" s="454">
        <f t="shared" si="32"/>
        <v>9.2604166666666668E-2</v>
      </c>
      <c r="P67" s="455">
        <f>IF($A67&gt;0,VLOOKUP($A67,Düngemittel!$A$3:$J$422,9),"")</f>
        <v>0</v>
      </c>
      <c r="Q67" s="456"/>
      <c r="R67" s="435">
        <f t="shared" si="34"/>
        <v>-295.27719871360546</v>
      </c>
      <c r="S67" s="436" t="s">
        <v>31</v>
      </c>
      <c r="T67" s="390"/>
      <c r="U67">
        <f t="shared" si="3"/>
        <v>0</v>
      </c>
    </row>
    <row r="68" spans="1:102" s="574" customFormat="1" ht="15.75" customHeight="1" x14ac:dyDescent="0.8">
      <c r="A68" s="671"/>
      <c r="B68" s="672" t="s">
        <v>37</v>
      </c>
      <c r="C68" s="762" t="s">
        <v>22</v>
      </c>
      <c r="D68" s="762" t="s">
        <v>38</v>
      </c>
      <c r="E68" s="762" t="s">
        <v>39</v>
      </c>
      <c r="F68" s="762" t="s">
        <v>23</v>
      </c>
      <c r="G68" s="762" t="s">
        <v>24</v>
      </c>
      <c r="H68" s="762" t="s">
        <v>25</v>
      </c>
      <c r="I68" s="649"/>
      <c r="J68" s="673"/>
      <c r="K68" s="674"/>
      <c r="L68" s="675"/>
      <c r="M68" s="675"/>
      <c r="N68" s="675"/>
      <c r="O68" s="675"/>
      <c r="P68" s="676"/>
      <c r="Q68" s="677"/>
      <c r="R68" s="678"/>
      <c r="S68" s="643"/>
      <c r="T68" s="390"/>
      <c r="U68" s="390">
        <v>1</v>
      </c>
    </row>
    <row r="69" spans="1:102" s="574" customFormat="1" ht="12.75" customHeight="1" x14ac:dyDescent="0.4">
      <c r="A69" s="679"/>
      <c r="B69" s="680" t="s">
        <v>40</v>
      </c>
      <c r="C69" s="681">
        <f>J14</f>
        <v>1.179560688405797</v>
      </c>
      <c r="D69" s="681">
        <f>+K24</f>
        <v>1.117105781348456</v>
      </c>
      <c r="E69" s="681">
        <f>+L38</f>
        <v>0.60855274003623183</v>
      </c>
      <c r="F69" s="681">
        <f>+M47</f>
        <v>0.75789039855072449</v>
      </c>
      <c r="G69" s="681">
        <f>+N62</f>
        <v>0.62763700181159443</v>
      </c>
      <c r="H69" s="682">
        <f>(I53-2*0.74)/H53</f>
        <v>9.2604166666666668E-2</v>
      </c>
      <c r="I69" s="683"/>
      <c r="J69" s="680"/>
      <c r="K69" s="680"/>
      <c r="L69" s="684"/>
      <c r="M69" s="684"/>
      <c r="N69" s="684"/>
      <c r="O69" s="684"/>
      <c r="P69" s="685"/>
      <c r="Q69" s="686"/>
      <c r="R69" s="687"/>
      <c r="S69" s="683"/>
      <c r="T69" s="390"/>
      <c r="U69">
        <v>1</v>
      </c>
    </row>
    <row r="70" spans="1:102" s="574" customFormat="1" ht="12.75" customHeight="1" x14ac:dyDescent="0.4">
      <c r="A70" s="679"/>
      <c r="B70" s="688" t="s">
        <v>41</v>
      </c>
      <c r="C70" s="689"/>
      <c r="D70" s="689"/>
      <c r="E70" s="689"/>
      <c r="F70" s="689"/>
      <c r="G70" s="689"/>
      <c r="H70" s="689"/>
      <c r="I70" s="683"/>
      <c r="J70" s="680"/>
      <c r="K70" s="680"/>
      <c r="L70" s="684" t="s">
        <v>42</v>
      </c>
      <c r="M70" s="684"/>
      <c r="N70" s="684"/>
      <c r="O70" s="684"/>
      <c r="P70" s="685"/>
      <c r="Q70" s="686"/>
      <c r="R70" s="687"/>
      <c r="S70" s="683"/>
      <c r="T70" s="390"/>
      <c r="U70">
        <v>1</v>
      </c>
    </row>
    <row r="71" spans="1:102" ht="26.05" customHeight="1" x14ac:dyDescent="0.4">
      <c r="A71" s="824" t="s">
        <v>529</v>
      </c>
      <c r="B71" s="825"/>
      <c r="C71" s="825"/>
      <c r="D71" s="825"/>
      <c r="E71" s="825"/>
      <c r="F71" s="825"/>
      <c r="G71" s="825"/>
      <c r="H71" s="825"/>
      <c r="I71" s="825"/>
      <c r="J71" s="825"/>
      <c r="K71" s="825"/>
      <c r="L71" s="825"/>
      <c r="M71" s="825"/>
      <c r="N71" s="825"/>
      <c r="O71" s="825"/>
      <c r="P71" s="825"/>
      <c r="Q71" s="825"/>
      <c r="R71" s="825"/>
      <c r="S71" s="826"/>
      <c r="T71" s="403"/>
    </row>
    <row r="72" spans="1:102" s="742" customFormat="1" ht="26.05" customHeight="1" x14ac:dyDescent="0.4">
      <c r="A72" s="740" t="s">
        <v>43</v>
      </c>
      <c r="B72" s="744" t="s">
        <v>44</v>
      </c>
      <c r="C72" s="745" t="s">
        <v>9</v>
      </c>
      <c r="D72" s="746"/>
      <c r="E72" s="746"/>
      <c r="F72" s="746"/>
      <c r="G72" s="746"/>
      <c r="H72" s="747"/>
      <c r="I72" s="748" t="s">
        <v>45</v>
      </c>
      <c r="J72" s="745" t="s">
        <v>46</v>
      </c>
      <c r="K72" s="746"/>
      <c r="L72" s="746"/>
      <c r="M72" s="746"/>
      <c r="N72" s="746"/>
      <c r="O72" s="747"/>
      <c r="P72" s="820" t="s">
        <v>47</v>
      </c>
      <c r="Q72" s="821"/>
      <c r="R72" s="822" t="s">
        <v>48</v>
      </c>
      <c r="S72" s="823"/>
      <c r="T72" s="403"/>
      <c r="U72"/>
      <c r="V72" s="741"/>
      <c r="W72" s="741"/>
      <c r="X72" s="741"/>
      <c r="Y72" s="741"/>
      <c r="Z72" s="741"/>
      <c r="AA72" s="741"/>
      <c r="AB72" s="741"/>
      <c r="AC72" s="741"/>
      <c r="AD72" s="741"/>
      <c r="AE72" s="741"/>
      <c r="AF72" s="741"/>
      <c r="AG72" s="741"/>
      <c r="AH72" s="741"/>
      <c r="AI72" s="741"/>
      <c r="AJ72" s="741"/>
      <c r="AK72" s="741"/>
      <c r="AL72" s="741"/>
      <c r="AM72" s="741"/>
      <c r="AN72" s="741"/>
      <c r="AO72" s="741"/>
      <c r="AP72" s="741"/>
      <c r="AQ72" s="741"/>
      <c r="AR72" s="741"/>
      <c r="AS72" s="741"/>
      <c r="AT72" s="741"/>
      <c r="AU72" s="741"/>
      <c r="AV72" s="741"/>
      <c r="AW72" s="741"/>
      <c r="AX72" s="741"/>
      <c r="AY72" s="741"/>
      <c r="AZ72" s="741"/>
      <c r="BA72" s="741"/>
      <c r="BB72" s="741"/>
      <c r="BC72" s="741"/>
      <c r="BD72" s="741"/>
      <c r="BE72" s="741"/>
      <c r="BF72" s="741"/>
      <c r="BG72" s="741"/>
      <c r="BH72" s="741"/>
      <c r="BI72" s="741"/>
      <c r="BJ72" s="741"/>
      <c r="BK72" s="741"/>
      <c r="BL72" s="741"/>
      <c r="BM72" s="741"/>
      <c r="BN72" s="741"/>
      <c r="BO72" s="741"/>
      <c r="BP72" s="741"/>
      <c r="BQ72" s="741"/>
      <c r="BR72" s="741"/>
      <c r="BS72" s="741"/>
      <c r="BT72" s="741"/>
      <c r="BU72" s="741"/>
      <c r="BV72" s="741"/>
      <c r="BW72" s="741"/>
      <c r="BX72" s="741"/>
      <c r="BY72" s="741"/>
      <c r="BZ72" s="741"/>
      <c r="CA72" s="741"/>
      <c r="CB72" s="741"/>
      <c r="CC72" s="741"/>
      <c r="CD72" s="741"/>
      <c r="CE72" s="741"/>
      <c r="CF72" s="741"/>
      <c r="CG72" s="741"/>
      <c r="CH72" s="741"/>
      <c r="CI72" s="741"/>
      <c r="CJ72" s="741"/>
      <c r="CK72" s="741"/>
      <c r="CL72" s="741"/>
      <c r="CM72" s="741"/>
      <c r="CN72" s="741"/>
      <c r="CO72" s="741"/>
      <c r="CP72" s="741"/>
      <c r="CQ72" s="741"/>
      <c r="CR72" s="741"/>
      <c r="CS72" s="741"/>
      <c r="CT72" s="741"/>
      <c r="CU72" s="741"/>
      <c r="CV72" s="741"/>
      <c r="CW72" s="741"/>
      <c r="CX72" s="741"/>
    </row>
    <row r="73" spans="1:102" ht="15.55" customHeight="1" x14ac:dyDescent="0.4">
      <c r="A73" s="743" t="s">
        <v>31</v>
      </c>
      <c r="B73" s="811" t="s">
        <v>49</v>
      </c>
      <c r="C73" s="749" t="s">
        <v>22</v>
      </c>
      <c r="D73" s="750" t="s">
        <v>38</v>
      </c>
      <c r="E73" s="750" t="s">
        <v>39</v>
      </c>
      <c r="F73" s="750" t="s">
        <v>23</v>
      </c>
      <c r="G73" s="750" t="s">
        <v>24</v>
      </c>
      <c r="H73" s="751" t="s">
        <v>25</v>
      </c>
      <c r="I73" s="744" t="s">
        <v>50</v>
      </c>
      <c r="J73" s="749" t="s">
        <v>22</v>
      </c>
      <c r="K73" s="750" t="s">
        <v>38</v>
      </c>
      <c r="L73" s="750" t="s">
        <v>39</v>
      </c>
      <c r="M73" s="750" t="s">
        <v>23</v>
      </c>
      <c r="N73" s="750" t="s">
        <v>24</v>
      </c>
      <c r="O73" s="751" t="s">
        <v>25</v>
      </c>
      <c r="P73" s="752" t="s">
        <v>50</v>
      </c>
      <c r="Q73" s="753"/>
      <c r="R73" s="752" t="s">
        <v>31</v>
      </c>
      <c r="S73" s="753"/>
      <c r="T73" s="403"/>
    </row>
    <row r="74" spans="1:102" ht="12.75" customHeight="1" x14ac:dyDescent="0.4">
      <c r="A74" s="579">
        <v>1</v>
      </c>
      <c r="B74" s="580" t="s">
        <v>51</v>
      </c>
      <c r="C74" s="581">
        <v>20</v>
      </c>
      <c r="D74" s="582">
        <v>12</v>
      </c>
      <c r="E74" s="582"/>
      <c r="F74" s="582"/>
      <c r="G74" s="582"/>
      <c r="H74" s="583"/>
      <c r="I74" s="584">
        <v>46.95</v>
      </c>
      <c r="J74" s="803">
        <f>+C$69*C74*A74</f>
        <v>23.591213768115939</v>
      </c>
      <c r="K74" s="804">
        <f t="shared" ref="K74:O74" si="35">+D$69*D74</f>
        <v>13.405269376181472</v>
      </c>
      <c r="L74" s="804">
        <f t="shared" si="35"/>
        <v>0</v>
      </c>
      <c r="M74" s="804">
        <f t="shared" si="35"/>
        <v>0</v>
      </c>
      <c r="N74" s="804">
        <f t="shared" si="35"/>
        <v>0</v>
      </c>
      <c r="O74" s="804">
        <f t="shared" si="35"/>
        <v>0</v>
      </c>
      <c r="P74" s="805">
        <f t="shared" ref="P74" si="36">+SUMPRODUCT($D$69:$H$69,D74:H74)+$C$69*C74*A74</f>
        <v>36.996483144297414</v>
      </c>
      <c r="Q74" s="806"/>
      <c r="R74" s="585">
        <f>+IF(I74&lt;&gt;0,(I74/P74*100),"-")</f>
        <v>126.90395413229112</v>
      </c>
      <c r="S74" s="776" t="s">
        <v>31</v>
      </c>
      <c r="T74" s="390"/>
    </row>
    <row r="75" spans="1:102" ht="12.75" customHeight="1" x14ac:dyDescent="0.4">
      <c r="A75" s="586">
        <v>1</v>
      </c>
      <c r="B75" s="587" t="s">
        <v>52</v>
      </c>
      <c r="C75" s="588">
        <v>20</v>
      </c>
      <c r="D75" s="589">
        <v>20</v>
      </c>
      <c r="E75" s="589"/>
      <c r="F75" s="589"/>
      <c r="G75" s="589"/>
      <c r="H75" s="590"/>
      <c r="I75" s="591">
        <v>52.2</v>
      </c>
      <c r="J75" s="795">
        <f t="shared" ref="J75:J84" si="37">+C$69*C75*A75</f>
        <v>23.591213768115939</v>
      </c>
      <c r="K75" s="796">
        <f t="shared" ref="K75:K84" si="38">+D$69*D75</f>
        <v>22.342115626969118</v>
      </c>
      <c r="L75" s="796">
        <f t="shared" ref="L75:L84" si="39">+E$69*E75</f>
        <v>0</v>
      </c>
      <c r="M75" s="796">
        <f t="shared" ref="M75:M84" si="40">+F$69*F75</f>
        <v>0</v>
      </c>
      <c r="N75" s="796">
        <f t="shared" ref="N75:N84" si="41">+G$69*G75</f>
        <v>0</v>
      </c>
      <c r="O75" s="796">
        <f t="shared" ref="O75:O84" si="42">+H$69*H75</f>
        <v>0</v>
      </c>
      <c r="P75" s="797">
        <f>+SUMPRODUCT($D$69:$H$69,D75:H75)+$C$69*C75*A75</f>
        <v>45.933329395085053</v>
      </c>
      <c r="Q75" s="798"/>
      <c r="R75" s="592">
        <f>+IF(I75&lt;&gt;0,(I75/P75*100),"-")</f>
        <v>113.6429705563331</v>
      </c>
      <c r="S75" s="772" t="s">
        <v>31</v>
      </c>
      <c r="T75" s="390"/>
    </row>
    <row r="76" spans="1:102" ht="12.75" customHeight="1" x14ac:dyDescent="0.4">
      <c r="A76" s="593">
        <v>1</v>
      </c>
      <c r="B76" s="587" t="s">
        <v>53</v>
      </c>
      <c r="C76" s="588">
        <v>20</v>
      </c>
      <c r="D76" s="589">
        <v>20</v>
      </c>
      <c r="E76" s="589"/>
      <c r="F76" s="589"/>
      <c r="G76" s="589">
        <v>14</v>
      </c>
      <c r="H76" s="590"/>
      <c r="I76" s="591">
        <v>49.7</v>
      </c>
      <c r="J76" s="795">
        <f>+C$69*C76*A76</f>
        <v>23.591213768115939</v>
      </c>
      <c r="K76" s="796">
        <f t="shared" si="38"/>
        <v>22.342115626969118</v>
      </c>
      <c r="L76" s="796">
        <f t="shared" si="39"/>
        <v>0</v>
      </c>
      <c r="M76" s="796">
        <f t="shared" si="40"/>
        <v>0</v>
      </c>
      <c r="N76" s="796">
        <f t="shared" si="41"/>
        <v>8.786918025362322</v>
      </c>
      <c r="O76" s="796">
        <f t="shared" si="42"/>
        <v>0</v>
      </c>
      <c r="P76" s="797">
        <f t="shared" ref="P76:P77" si="43">+SUMPRODUCT($D$69:$H$69,D76:H76)+$C$69*C76*A76</f>
        <v>54.720247420447379</v>
      </c>
      <c r="Q76" s="798"/>
      <c r="R76" s="576">
        <f>+IF(I76&lt;&gt;0,(I76/P76*100),"-")</f>
        <v>90.825612717219812</v>
      </c>
      <c r="S76" s="772" t="s">
        <v>31</v>
      </c>
      <c r="T76" s="390"/>
    </row>
    <row r="77" spans="1:102" ht="12.75" customHeight="1" x14ac:dyDescent="0.4">
      <c r="A77" s="593">
        <v>1</v>
      </c>
      <c r="B77" s="587"/>
      <c r="C77" s="588"/>
      <c r="D77" s="589"/>
      <c r="E77" s="589"/>
      <c r="F77" s="589"/>
      <c r="G77" s="589"/>
      <c r="H77" s="590"/>
      <c r="I77" s="591">
        <v>0</v>
      </c>
      <c r="J77" s="795">
        <f t="shared" si="37"/>
        <v>0</v>
      </c>
      <c r="K77" s="796">
        <f t="shared" si="38"/>
        <v>0</v>
      </c>
      <c r="L77" s="796">
        <f t="shared" si="39"/>
        <v>0</v>
      </c>
      <c r="M77" s="796">
        <f t="shared" si="40"/>
        <v>0</v>
      </c>
      <c r="N77" s="796">
        <f t="shared" si="41"/>
        <v>0</v>
      </c>
      <c r="O77" s="796">
        <f t="shared" si="42"/>
        <v>0</v>
      </c>
      <c r="P77" s="797">
        <f t="shared" si="43"/>
        <v>0</v>
      </c>
      <c r="Q77" s="798"/>
      <c r="R77" s="576" t="str">
        <f t="shared" ref="R77:R84" si="44">+IF(I77&lt;&gt;0,(I77/P77*100),"-")</f>
        <v>-</v>
      </c>
      <c r="S77" s="772" t="s">
        <v>31</v>
      </c>
      <c r="T77" s="390"/>
    </row>
    <row r="78" spans="1:102" ht="21" customHeight="1" x14ac:dyDescent="0.4">
      <c r="A78" s="824" t="s">
        <v>530</v>
      </c>
      <c r="B78" s="825"/>
      <c r="C78" s="825"/>
      <c r="D78" s="825"/>
      <c r="E78" s="825"/>
      <c r="F78" s="825"/>
      <c r="G78" s="825"/>
      <c r="H78" s="825"/>
      <c r="I78" s="825"/>
      <c r="J78" s="825"/>
      <c r="K78" s="825"/>
      <c r="L78" s="825"/>
      <c r="M78" s="825"/>
      <c r="N78" s="825"/>
      <c r="O78" s="825"/>
      <c r="P78" s="825"/>
      <c r="Q78" s="825"/>
      <c r="R78" s="825"/>
      <c r="S78" s="826"/>
      <c r="T78" s="390"/>
    </row>
    <row r="79" spans="1:102" ht="25.5" customHeight="1" x14ac:dyDescent="0.4">
      <c r="A79" s="740" t="s">
        <v>43</v>
      </c>
      <c r="B79" s="744" t="s">
        <v>44</v>
      </c>
      <c r="C79" s="763" t="s">
        <v>531</v>
      </c>
      <c r="D79" s="764"/>
      <c r="E79" s="764"/>
      <c r="F79" s="764"/>
      <c r="G79" s="764"/>
      <c r="H79" s="765"/>
      <c r="I79" s="748" t="s">
        <v>45</v>
      </c>
      <c r="J79" s="745" t="s">
        <v>46</v>
      </c>
      <c r="K79" s="746"/>
      <c r="L79" s="746"/>
      <c r="M79" s="746"/>
      <c r="N79" s="746"/>
      <c r="O79" s="747"/>
      <c r="P79" s="820" t="s">
        <v>47</v>
      </c>
      <c r="Q79" s="821"/>
      <c r="R79" s="822" t="s">
        <v>48</v>
      </c>
      <c r="S79" s="823"/>
      <c r="T79" s="390"/>
    </row>
    <row r="80" spans="1:102" ht="12.75" customHeight="1" x14ac:dyDescent="0.4">
      <c r="A80" s="743" t="s">
        <v>31</v>
      </c>
      <c r="B80" s="811" t="s">
        <v>49</v>
      </c>
      <c r="C80" s="749" t="s">
        <v>22</v>
      </c>
      <c r="D80" s="750" t="s">
        <v>38</v>
      </c>
      <c r="E80" s="750" t="s">
        <v>39</v>
      </c>
      <c r="F80" s="750" t="s">
        <v>23</v>
      </c>
      <c r="G80" s="750" t="s">
        <v>24</v>
      </c>
      <c r="H80" s="751" t="s">
        <v>25</v>
      </c>
      <c r="I80" s="744" t="s">
        <v>54</v>
      </c>
      <c r="J80" s="749" t="s">
        <v>22</v>
      </c>
      <c r="K80" s="750" t="s">
        <v>38</v>
      </c>
      <c r="L80" s="750" t="s">
        <v>39</v>
      </c>
      <c r="M80" s="750" t="s">
        <v>23</v>
      </c>
      <c r="N80" s="750" t="s">
        <v>24</v>
      </c>
      <c r="O80" s="751" t="s">
        <v>25</v>
      </c>
      <c r="P80" s="752" t="s">
        <v>54</v>
      </c>
      <c r="Q80" s="753"/>
      <c r="R80" s="752" t="s">
        <v>31</v>
      </c>
      <c r="S80" s="753"/>
      <c r="T80" s="390"/>
    </row>
    <row r="81" spans="1:21" ht="12.75" customHeight="1" x14ac:dyDescent="0.4">
      <c r="A81" s="594">
        <v>0.6</v>
      </c>
      <c r="B81" s="587" t="s">
        <v>55</v>
      </c>
      <c r="C81" s="588">
        <v>5</v>
      </c>
      <c r="D81" s="589">
        <v>2</v>
      </c>
      <c r="E81" s="589">
        <v>5</v>
      </c>
      <c r="F81" s="589">
        <v>1</v>
      </c>
      <c r="G81" s="589">
        <v>0.5</v>
      </c>
      <c r="H81" s="590"/>
      <c r="I81" s="591">
        <v>4</v>
      </c>
      <c r="J81" s="795">
        <f t="shared" si="37"/>
        <v>3.5386820652173907</v>
      </c>
      <c r="K81" s="796">
        <f t="shared" si="38"/>
        <v>2.2342115626969119</v>
      </c>
      <c r="L81" s="796">
        <f t="shared" si="39"/>
        <v>3.0427637001811592</v>
      </c>
      <c r="M81" s="796">
        <f t="shared" si="40"/>
        <v>0.75789039855072449</v>
      </c>
      <c r="N81" s="796">
        <f t="shared" si="41"/>
        <v>0.31381850090579722</v>
      </c>
      <c r="O81" s="796">
        <f t="shared" si="42"/>
        <v>0</v>
      </c>
      <c r="P81" s="797">
        <f t="shared" ref="P81:P83" si="45">+SUMPRODUCT($D$69:$H$69,D81:H81)+$C$69*C81*A81</f>
        <v>9.8873662275519845</v>
      </c>
      <c r="Q81" s="798"/>
      <c r="R81" s="576">
        <f t="shared" si="44"/>
        <v>40.455667444113288</v>
      </c>
      <c r="S81" s="772" t="s">
        <v>31</v>
      </c>
      <c r="T81" s="390"/>
    </row>
    <row r="82" spans="1:21" ht="12.75" customHeight="1" x14ac:dyDescent="0.4">
      <c r="A82" s="594">
        <v>0.6</v>
      </c>
      <c r="B82" s="587" t="s">
        <v>56</v>
      </c>
      <c r="C82" s="588">
        <v>4.5</v>
      </c>
      <c r="D82" s="595">
        <v>1</v>
      </c>
      <c r="E82" s="589">
        <v>6</v>
      </c>
      <c r="F82" s="589">
        <v>1</v>
      </c>
      <c r="G82" s="589">
        <v>1</v>
      </c>
      <c r="H82" s="590"/>
      <c r="I82" s="591">
        <v>6.9</v>
      </c>
      <c r="J82" s="795">
        <f t="shared" si="37"/>
        <v>3.1848138586956516</v>
      </c>
      <c r="K82" s="796">
        <f t="shared" si="38"/>
        <v>1.117105781348456</v>
      </c>
      <c r="L82" s="796">
        <f t="shared" si="39"/>
        <v>3.651316440217391</v>
      </c>
      <c r="M82" s="796">
        <f t="shared" si="40"/>
        <v>0.75789039855072449</v>
      </c>
      <c r="N82" s="796">
        <f t="shared" si="41"/>
        <v>0.62763700181159443</v>
      </c>
      <c r="O82" s="796">
        <f t="shared" si="42"/>
        <v>0</v>
      </c>
      <c r="P82" s="797">
        <f t="shared" si="45"/>
        <v>9.3387634806238182</v>
      </c>
      <c r="Q82" s="798"/>
      <c r="R82" s="576">
        <f t="shared" si="44"/>
        <v>73.885584684912573</v>
      </c>
      <c r="S82" s="772" t="s">
        <v>31</v>
      </c>
      <c r="T82" s="390"/>
    </row>
    <row r="83" spans="1:21" ht="12.75" customHeight="1" x14ac:dyDescent="0.4">
      <c r="A83" s="594">
        <v>0.8</v>
      </c>
      <c r="B83" s="587" t="s">
        <v>57</v>
      </c>
      <c r="C83" s="588">
        <v>18</v>
      </c>
      <c r="D83" s="589">
        <v>20</v>
      </c>
      <c r="E83" s="589">
        <v>15</v>
      </c>
      <c r="F83" s="589">
        <v>1</v>
      </c>
      <c r="G83" s="589">
        <v>1</v>
      </c>
      <c r="H83" s="590">
        <v>10</v>
      </c>
      <c r="I83" s="591">
        <v>39</v>
      </c>
      <c r="J83" s="795">
        <f t="shared" si="37"/>
        <v>16.985673913043478</v>
      </c>
      <c r="K83" s="796">
        <f t="shared" si="38"/>
        <v>22.342115626969118</v>
      </c>
      <c r="L83" s="796">
        <f t="shared" si="39"/>
        <v>9.1282911005434784</v>
      </c>
      <c r="M83" s="796">
        <f t="shared" si="40"/>
        <v>0.75789039855072449</v>
      </c>
      <c r="N83" s="796">
        <f t="shared" si="41"/>
        <v>0.62763700181159443</v>
      </c>
      <c r="O83" s="796">
        <f t="shared" si="42"/>
        <v>0.92604166666666665</v>
      </c>
      <c r="P83" s="797">
        <f t="shared" si="45"/>
        <v>50.767649707585058</v>
      </c>
      <c r="Q83" s="798"/>
      <c r="R83" s="576">
        <f t="shared" si="44"/>
        <v>76.82057417397661</v>
      </c>
      <c r="S83" s="772" t="s">
        <v>31</v>
      </c>
      <c r="T83" s="390"/>
    </row>
    <row r="84" spans="1:21" ht="12.75" customHeight="1" x14ac:dyDescent="0.4">
      <c r="A84" s="596">
        <v>0.7</v>
      </c>
      <c r="B84" s="597" t="s">
        <v>58</v>
      </c>
      <c r="C84" s="598">
        <v>14</v>
      </c>
      <c r="D84" s="599">
        <v>19</v>
      </c>
      <c r="E84" s="599">
        <v>22</v>
      </c>
      <c r="F84" s="599">
        <v>1</v>
      </c>
      <c r="G84" s="599">
        <v>1</v>
      </c>
      <c r="H84" s="600"/>
      <c r="I84" s="601">
        <v>42</v>
      </c>
      <c r="J84" s="799">
        <f t="shared" si="37"/>
        <v>11.55969474637681</v>
      </c>
      <c r="K84" s="800">
        <f t="shared" si="38"/>
        <v>21.225009845620662</v>
      </c>
      <c r="L84" s="800">
        <f t="shared" si="39"/>
        <v>13.3881602807971</v>
      </c>
      <c r="M84" s="800">
        <f t="shared" si="40"/>
        <v>0.75789039855072449</v>
      </c>
      <c r="N84" s="800">
        <f t="shared" si="41"/>
        <v>0.62763700181159443</v>
      </c>
      <c r="O84" s="800">
        <f t="shared" si="42"/>
        <v>0</v>
      </c>
      <c r="P84" s="801">
        <f t="shared" ref="P84" si="46">+SUMPRODUCT($C$69:$H$69,C84:H84)</f>
        <v>52.512547164461239</v>
      </c>
      <c r="Q84" s="802"/>
      <c r="R84" s="602">
        <f t="shared" si="44"/>
        <v>79.980885079640956</v>
      </c>
      <c r="S84" s="783" t="s">
        <v>31</v>
      </c>
      <c r="T84" s="390"/>
    </row>
    <row r="85" spans="1:21" customFormat="1" ht="12.75" hidden="1" customHeight="1" x14ac:dyDescent="0.4">
      <c r="A85" s="421"/>
      <c r="B85" s="390"/>
      <c r="C85" s="422"/>
      <c r="D85" s="422"/>
      <c r="E85" s="422"/>
      <c r="F85" s="422"/>
      <c r="G85" s="422"/>
      <c r="H85" s="422"/>
      <c r="I85" s="390"/>
      <c r="J85" s="390"/>
      <c r="K85" s="390"/>
      <c r="L85" s="390"/>
      <c r="M85" s="390"/>
      <c r="N85" s="390"/>
      <c r="O85" s="390"/>
      <c r="P85" s="423"/>
      <c r="Q85" s="414"/>
      <c r="R85" s="390"/>
      <c r="S85" s="424"/>
      <c r="T85" s="390"/>
    </row>
    <row r="86" spans="1:21" customFormat="1" ht="12.75" hidden="1" customHeight="1" x14ac:dyDescent="0.4">
      <c r="A86" s="421"/>
      <c r="B86" s="390"/>
      <c r="C86" s="422"/>
      <c r="D86" s="422"/>
      <c r="E86" s="422"/>
      <c r="F86" s="422"/>
      <c r="G86" s="422"/>
      <c r="H86" s="422"/>
      <c r="I86" s="390"/>
      <c r="J86" s="390"/>
      <c r="K86" s="390"/>
      <c r="L86" s="390"/>
      <c r="M86" s="390"/>
      <c r="N86" s="390"/>
      <c r="O86" s="390"/>
      <c r="P86" s="423"/>
      <c r="Q86" s="414"/>
      <c r="R86" s="390"/>
      <c r="S86" s="424"/>
      <c r="T86" s="390"/>
    </row>
    <row r="87" spans="1:21" customFormat="1" ht="12.75" hidden="1" customHeight="1" x14ac:dyDescent="0.4">
      <c r="A87" s="421"/>
      <c r="B87" s="390"/>
      <c r="C87" s="422"/>
      <c r="D87" s="422"/>
      <c r="E87" s="422"/>
      <c r="F87" s="422"/>
      <c r="G87" s="422"/>
      <c r="H87" s="422"/>
      <c r="I87" s="390"/>
      <c r="J87" s="390"/>
      <c r="K87" s="390"/>
      <c r="L87" s="390"/>
      <c r="M87" s="390"/>
      <c r="N87" s="390"/>
      <c r="O87" s="390"/>
      <c r="P87" s="423"/>
      <c r="Q87" s="414"/>
      <c r="R87" s="390"/>
      <c r="S87" s="424"/>
      <c r="T87" s="390"/>
    </row>
    <row r="88" spans="1:21" ht="12.75" customHeight="1" x14ac:dyDescent="0.4">
      <c r="A88" s="767"/>
      <c r="B88" s="766" t="s">
        <v>59</v>
      </c>
      <c r="C88" s="768"/>
      <c r="D88" s="768"/>
      <c r="E88" s="768"/>
      <c r="F88" s="768"/>
      <c r="G88" s="768"/>
      <c r="H88" s="768"/>
      <c r="I88" s="769"/>
      <c r="J88" s="769"/>
      <c r="K88" s="769"/>
      <c r="L88" s="769"/>
      <c r="M88" s="769"/>
      <c r="N88" s="769"/>
      <c r="O88" s="769"/>
      <c r="P88" s="770"/>
      <c r="Q88" s="771"/>
      <c r="R88" s="769"/>
      <c r="S88" s="772"/>
      <c r="T88" s="390"/>
    </row>
    <row r="89" spans="1:21" ht="12.75" customHeight="1" x14ac:dyDescent="0.4">
      <c r="A89" s="767"/>
      <c r="B89" s="773" t="s">
        <v>60</v>
      </c>
      <c r="C89" s="774" t="s">
        <v>61</v>
      </c>
      <c r="D89" s="631"/>
      <c r="E89" s="774" t="s">
        <v>62</v>
      </c>
      <c r="F89" s="775">
        <v>1.4</v>
      </c>
      <c r="G89" s="774" t="s">
        <v>63</v>
      </c>
      <c r="H89" s="774" t="s">
        <v>25</v>
      </c>
      <c r="I89" s="776"/>
      <c r="J89" s="777" t="s">
        <v>64</v>
      </c>
      <c r="K89" s="631"/>
      <c r="L89" s="631" t="s">
        <v>65</v>
      </c>
      <c r="M89" s="631"/>
      <c r="N89" s="774" t="s">
        <v>62</v>
      </c>
      <c r="O89" s="774">
        <v>1.66</v>
      </c>
      <c r="P89" s="778" t="s">
        <v>63</v>
      </c>
      <c r="Q89" s="779" t="s">
        <v>23</v>
      </c>
      <c r="R89" s="774"/>
      <c r="S89" s="776"/>
      <c r="T89" s="390"/>
    </row>
    <row r="90" spans="1:21" ht="12.75" customHeight="1" x14ac:dyDescent="0.4">
      <c r="A90" s="767"/>
      <c r="B90" s="767"/>
      <c r="C90" s="768" t="s">
        <v>25</v>
      </c>
      <c r="D90" s="769"/>
      <c r="E90" s="768" t="s">
        <v>62</v>
      </c>
      <c r="F90" s="768">
        <v>1.78</v>
      </c>
      <c r="G90" s="768" t="s">
        <v>63</v>
      </c>
      <c r="H90" s="780" t="s">
        <v>66</v>
      </c>
      <c r="I90" s="772"/>
      <c r="J90" s="769"/>
      <c r="K90" s="769"/>
      <c r="L90" s="769" t="s">
        <v>67</v>
      </c>
      <c r="M90" s="769"/>
      <c r="N90" s="768" t="s">
        <v>62</v>
      </c>
      <c r="O90" s="768">
        <v>2.09</v>
      </c>
      <c r="P90" s="770" t="s">
        <v>63</v>
      </c>
      <c r="Q90" s="771" t="s">
        <v>68</v>
      </c>
      <c r="R90" s="768"/>
      <c r="S90" s="772"/>
      <c r="T90" s="390"/>
    </row>
    <row r="91" spans="1:21" ht="12.75" customHeight="1" x14ac:dyDescent="0.4">
      <c r="A91" s="767"/>
      <c r="B91" s="767"/>
      <c r="C91" s="768" t="s">
        <v>66</v>
      </c>
      <c r="D91" s="769"/>
      <c r="E91" s="768" t="s">
        <v>62</v>
      </c>
      <c r="F91" s="768">
        <v>0.56000000000000005</v>
      </c>
      <c r="G91" s="768" t="s">
        <v>63</v>
      </c>
      <c r="H91" s="768" t="s">
        <v>25</v>
      </c>
      <c r="I91" s="772"/>
      <c r="J91" s="769"/>
      <c r="K91" s="769"/>
      <c r="L91" s="769" t="s">
        <v>68</v>
      </c>
      <c r="M91" s="769"/>
      <c r="N91" s="768" t="s">
        <v>62</v>
      </c>
      <c r="O91" s="768">
        <v>0.48</v>
      </c>
      <c r="P91" s="770" t="s">
        <v>63</v>
      </c>
      <c r="Q91" s="771" t="s">
        <v>23</v>
      </c>
      <c r="R91" s="768"/>
      <c r="S91" s="772"/>
      <c r="T91" s="390"/>
    </row>
    <row r="92" spans="1:21" ht="12.75" customHeight="1" x14ac:dyDescent="0.4">
      <c r="A92" s="767"/>
      <c r="B92" s="781"/>
      <c r="C92" s="782" t="s">
        <v>25</v>
      </c>
      <c r="D92" s="632"/>
      <c r="E92" s="782" t="s">
        <v>62</v>
      </c>
      <c r="F92" s="782">
        <v>0.71</v>
      </c>
      <c r="G92" s="782" t="s">
        <v>63</v>
      </c>
      <c r="H92" s="782" t="s">
        <v>61</v>
      </c>
      <c r="I92" s="783"/>
      <c r="J92" s="632"/>
      <c r="K92" s="632"/>
      <c r="L92" s="632" t="s">
        <v>23</v>
      </c>
      <c r="M92" s="632"/>
      <c r="N92" s="782" t="s">
        <v>62</v>
      </c>
      <c r="O92" s="784">
        <v>0.6</v>
      </c>
      <c r="P92" s="785" t="s">
        <v>63</v>
      </c>
      <c r="Q92" s="786" t="s">
        <v>65</v>
      </c>
      <c r="R92" s="782"/>
      <c r="S92" s="783"/>
      <c r="T92" s="390"/>
    </row>
    <row r="93" spans="1:21" ht="12.75" customHeight="1" x14ac:dyDescent="0.4">
      <c r="A93" s="767"/>
      <c r="B93" s="787" t="s">
        <v>69</v>
      </c>
      <c r="C93" s="768" t="s">
        <v>70</v>
      </c>
      <c r="D93" s="769"/>
      <c r="E93" s="768" t="s">
        <v>62</v>
      </c>
      <c r="F93" s="768">
        <v>2.29</v>
      </c>
      <c r="G93" s="768" t="s">
        <v>63</v>
      </c>
      <c r="H93" s="768" t="s">
        <v>71</v>
      </c>
      <c r="I93" s="772"/>
      <c r="J93" s="766" t="s">
        <v>72</v>
      </c>
      <c r="K93" s="769"/>
      <c r="L93" s="769" t="s">
        <v>73</v>
      </c>
      <c r="M93" s="769"/>
      <c r="N93" s="768" t="s">
        <v>62</v>
      </c>
      <c r="O93" s="788">
        <v>1.2</v>
      </c>
      <c r="P93" s="770" t="s">
        <v>63</v>
      </c>
      <c r="Q93" s="771" t="s">
        <v>74</v>
      </c>
      <c r="R93" s="768"/>
      <c r="S93" s="772"/>
      <c r="T93" s="390"/>
    </row>
    <row r="94" spans="1:21" ht="12.75" customHeight="1" x14ac:dyDescent="0.4">
      <c r="A94" s="781"/>
      <c r="B94" s="781"/>
      <c r="C94" s="782" t="s">
        <v>71</v>
      </c>
      <c r="D94" s="632"/>
      <c r="E94" s="782" t="s">
        <v>62</v>
      </c>
      <c r="F94" s="782">
        <v>0.44</v>
      </c>
      <c r="G94" s="782" t="s">
        <v>63</v>
      </c>
      <c r="H94" s="782" t="s">
        <v>70</v>
      </c>
      <c r="I94" s="783"/>
      <c r="J94" s="632"/>
      <c r="K94" s="632"/>
      <c r="L94" s="632" t="s">
        <v>74</v>
      </c>
      <c r="M94" s="632"/>
      <c r="N94" s="782" t="s">
        <v>62</v>
      </c>
      <c r="O94" s="782">
        <v>0.83</v>
      </c>
      <c r="P94" s="785" t="s">
        <v>63</v>
      </c>
      <c r="Q94" s="786" t="s">
        <v>73</v>
      </c>
      <c r="R94" s="782"/>
      <c r="S94" s="783"/>
      <c r="T94" s="390"/>
    </row>
    <row r="95" spans="1:21" s="574" customFormat="1" ht="16" customHeight="1" x14ac:dyDescent="0.4">
      <c r="A95" s="789"/>
      <c r="B95" s="789"/>
      <c r="C95" s="790"/>
      <c r="D95" s="790"/>
      <c r="E95" s="790"/>
      <c r="F95" s="790"/>
      <c r="G95" s="790"/>
      <c r="H95" s="790"/>
      <c r="I95" s="789"/>
      <c r="J95" s="789"/>
      <c r="K95" s="789"/>
      <c r="L95" s="789"/>
      <c r="M95" s="789"/>
      <c r="N95" s="789"/>
      <c r="O95" s="789"/>
      <c r="P95" s="791"/>
      <c r="Q95" s="792"/>
      <c r="R95" s="789"/>
      <c r="S95" s="789"/>
      <c r="T95"/>
      <c r="U95"/>
    </row>
    <row r="96" spans="1:21" s="574" customFormat="1" ht="16" customHeight="1" x14ac:dyDescent="0.45">
      <c r="A96" s="793" t="s">
        <v>569</v>
      </c>
      <c r="B96" s="789"/>
      <c r="C96" s="790"/>
      <c r="D96" s="790"/>
      <c r="E96" s="790"/>
      <c r="F96" s="790"/>
      <c r="G96" s="790"/>
      <c r="H96" s="790"/>
      <c r="I96" s="789"/>
      <c r="J96" s="789"/>
      <c r="K96" s="789"/>
      <c r="L96" s="789"/>
      <c r="M96" s="789"/>
      <c r="N96" s="789"/>
      <c r="O96" s="789"/>
      <c r="P96" s="791"/>
      <c r="Q96" s="792"/>
      <c r="R96" s="789"/>
      <c r="S96" s="789"/>
      <c r="T96"/>
      <c r="U96"/>
    </row>
    <row r="97" spans="1:21" s="574" customFormat="1" ht="12.75" customHeight="1" x14ac:dyDescent="0.45">
      <c r="A97" s="793"/>
      <c r="B97" s="789"/>
      <c r="C97" s="790"/>
      <c r="D97" s="790"/>
      <c r="E97" s="790"/>
      <c r="F97" s="790"/>
      <c r="G97" s="790"/>
      <c r="H97" s="790"/>
      <c r="I97" s="789"/>
      <c r="J97" s="789"/>
      <c r="K97" s="789"/>
      <c r="L97" s="789"/>
      <c r="M97" s="789"/>
      <c r="N97" s="789"/>
      <c r="O97" s="789"/>
      <c r="P97" s="791"/>
      <c r="Q97" s="792"/>
      <c r="R97" s="789"/>
      <c r="S97" s="789"/>
      <c r="T97"/>
      <c r="U97"/>
    </row>
    <row r="98" spans="1:21" s="574" customFormat="1" ht="12.75" customHeight="1" x14ac:dyDescent="0.4">
      <c r="A98" s="794"/>
      <c r="B98" s="789"/>
      <c r="C98" s="790"/>
      <c r="D98" s="790"/>
      <c r="E98" s="790"/>
      <c r="F98" s="790"/>
      <c r="G98" s="790"/>
      <c r="H98" s="790"/>
      <c r="I98" s="789"/>
      <c r="J98" s="789"/>
      <c r="K98" s="789"/>
      <c r="L98" s="789"/>
      <c r="M98" s="789"/>
      <c r="N98" s="789"/>
      <c r="O98" s="789"/>
      <c r="P98" s="791"/>
      <c r="Q98" s="792"/>
      <c r="R98" s="789"/>
      <c r="S98" s="789"/>
      <c r="T98"/>
      <c r="U98"/>
    </row>
    <row r="99" spans="1:21" s="574" customFormat="1" ht="15" x14ac:dyDescent="0.5">
      <c r="B99" s="610"/>
      <c r="C99" s="606"/>
      <c r="E99" s="606"/>
      <c r="F99" s="606"/>
      <c r="G99" s="606"/>
      <c r="H99" s="606"/>
      <c r="P99" s="607"/>
      <c r="Q99" s="608"/>
      <c r="T99"/>
      <c r="U99"/>
    </row>
    <row r="100" spans="1:21" s="574" customFormat="1" x14ac:dyDescent="0.4">
      <c r="C100" s="606"/>
      <c r="D100" s="606"/>
      <c r="E100" s="606"/>
      <c r="F100" s="606"/>
      <c r="G100" s="606"/>
      <c r="H100" s="606"/>
      <c r="P100" s="607"/>
      <c r="Q100" s="608"/>
      <c r="T100"/>
      <c r="U100"/>
    </row>
    <row r="101" spans="1:21" s="574" customFormat="1" x14ac:dyDescent="0.4">
      <c r="C101" s="606"/>
      <c r="D101" s="606"/>
      <c r="E101" s="606"/>
      <c r="F101" s="606"/>
      <c r="G101" s="606"/>
      <c r="H101" s="606"/>
      <c r="K101" s="611"/>
      <c r="P101" s="607"/>
      <c r="Q101" s="608"/>
      <c r="T101"/>
      <c r="U101"/>
    </row>
    <row r="102" spans="1:21" s="574" customFormat="1" ht="12.6" x14ac:dyDescent="0.45">
      <c r="A102" s="612"/>
      <c r="B102" s="613"/>
      <c r="C102" s="614"/>
      <c r="D102" s="615"/>
      <c r="E102" s="615"/>
      <c r="F102" s="615"/>
      <c r="G102" s="615"/>
      <c r="H102" s="615"/>
      <c r="I102" s="615"/>
      <c r="J102" s="615"/>
      <c r="K102" s="616"/>
      <c r="L102" s="617"/>
      <c r="P102" s="607"/>
      <c r="Q102" s="608"/>
      <c r="T102"/>
      <c r="U102"/>
    </row>
    <row r="103" spans="1:21" s="574" customFormat="1" x14ac:dyDescent="0.4">
      <c r="A103" s="612"/>
      <c r="B103" s="618"/>
      <c r="C103" s="619"/>
      <c r="D103" s="619"/>
      <c r="E103" s="619"/>
      <c r="F103" s="619"/>
      <c r="G103" s="619"/>
      <c r="H103" s="619"/>
      <c r="I103" s="619"/>
      <c r="K103" s="619"/>
      <c r="L103" s="619"/>
      <c r="P103" s="607"/>
      <c r="Q103" s="608"/>
      <c r="T103"/>
      <c r="U103"/>
    </row>
    <row r="104" spans="1:21" s="574" customFormat="1" x14ac:dyDescent="0.4">
      <c r="A104" s="620"/>
      <c r="C104" s="621"/>
      <c r="D104" s="622"/>
      <c r="E104" s="621"/>
      <c r="F104" s="621"/>
      <c r="G104" s="621"/>
      <c r="H104" s="621"/>
      <c r="I104" s="619"/>
      <c r="K104" s="622"/>
      <c r="L104" s="621"/>
      <c r="P104" s="607"/>
      <c r="Q104" s="608"/>
      <c r="T104"/>
      <c r="U104"/>
    </row>
    <row r="105" spans="1:21" s="574" customFormat="1" x14ac:dyDescent="0.4">
      <c r="A105" s="620"/>
      <c r="B105" s="618"/>
      <c r="C105" s="621"/>
      <c r="D105" s="621"/>
      <c r="E105" s="621"/>
      <c r="F105" s="621"/>
      <c r="G105" s="621"/>
      <c r="H105" s="621"/>
      <c r="I105" s="621"/>
      <c r="K105" s="621"/>
      <c r="L105" s="621"/>
      <c r="P105" s="607"/>
      <c r="Q105" s="608"/>
      <c r="T105"/>
      <c r="U105"/>
    </row>
    <row r="106" spans="1:21" s="574" customFormat="1" x14ac:dyDescent="0.4">
      <c r="A106" s="623"/>
      <c r="B106" s="624"/>
      <c r="C106" s="625"/>
      <c r="D106" s="625"/>
      <c r="E106" s="625"/>
      <c r="F106" s="625"/>
      <c r="G106" s="625"/>
      <c r="H106" s="621"/>
      <c r="I106" s="621"/>
      <c r="K106" s="625"/>
      <c r="L106" s="621"/>
      <c r="P106" s="607"/>
      <c r="Q106" s="608"/>
      <c r="T106"/>
      <c r="U106"/>
    </row>
    <row r="107" spans="1:21" s="574" customFormat="1" x14ac:dyDescent="0.4">
      <c r="A107" s="623"/>
      <c r="B107" s="624"/>
      <c r="C107" s="625"/>
      <c r="D107" s="625"/>
      <c r="E107" s="625"/>
      <c r="F107" s="625"/>
      <c r="G107" s="625"/>
      <c r="H107" s="621"/>
      <c r="I107" s="621"/>
      <c r="K107" s="625"/>
      <c r="L107" s="621"/>
      <c r="P107" s="607"/>
      <c r="Q107" s="608"/>
      <c r="T107"/>
      <c r="U107"/>
    </row>
    <row r="108" spans="1:21" s="574" customFormat="1" x14ac:dyDescent="0.4">
      <c r="A108" s="623"/>
      <c r="B108" s="624"/>
      <c r="C108" s="625"/>
      <c r="D108" s="625"/>
      <c r="E108" s="625"/>
      <c r="F108" s="625"/>
      <c r="G108" s="625"/>
      <c r="H108" s="621"/>
      <c r="I108" s="621"/>
      <c r="K108" s="625"/>
      <c r="L108" s="621"/>
      <c r="P108" s="607"/>
      <c r="Q108" s="608"/>
      <c r="T108"/>
      <c r="U108"/>
    </row>
    <row r="109" spans="1:21" s="574" customFormat="1" x14ac:dyDescent="0.4">
      <c r="A109" s="623"/>
      <c r="B109" s="624"/>
      <c r="C109" s="625"/>
      <c r="D109" s="625"/>
      <c r="E109" s="625"/>
      <c r="F109" s="625"/>
      <c r="G109" s="625"/>
      <c r="H109" s="621"/>
      <c r="I109" s="621"/>
      <c r="K109" s="625"/>
      <c r="L109" s="621"/>
      <c r="P109" s="607"/>
      <c r="Q109" s="608"/>
      <c r="T109"/>
      <c r="U109"/>
    </row>
    <row r="110" spans="1:21" s="574" customFormat="1" x14ac:dyDescent="0.4">
      <c r="A110" s="623"/>
      <c r="B110" s="624"/>
      <c r="C110" s="625"/>
      <c r="D110" s="625"/>
      <c r="E110" s="625"/>
      <c r="F110" s="625"/>
      <c r="G110" s="625"/>
      <c r="H110" s="621"/>
      <c r="I110" s="621"/>
      <c r="K110" s="625"/>
      <c r="L110" s="621"/>
      <c r="P110" s="607"/>
      <c r="Q110" s="608"/>
      <c r="T110"/>
      <c r="U110"/>
    </row>
    <row r="111" spans="1:21" s="574" customFormat="1" x14ac:dyDescent="0.4">
      <c r="A111" s="623"/>
      <c r="B111" s="624"/>
      <c r="C111" s="625"/>
      <c r="D111" s="625"/>
      <c r="E111" s="625"/>
      <c r="F111" s="625"/>
      <c r="G111" s="625"/>
      <c r="H111" s="621"/>
      <c r="I111" s="621"/>
      <c r="K111" s="625"/>
      <c r="L111" s="621"/>
      <c r="P111" s="607"/>
      <c r="Q111" s="608"/>
      <c r="T111"/>
      <c r="U111"/>
    </row>
    <row r="112" spans="1:21" s="574" customFormat="1" x14ac:dyDescent="0.4">
      <c r="A112" s="623"/>
      <c r="B112" s="624"/>
      <c r="C112" s="625"/>
      <c r="D112" s="625"/>
      <c r="E112" s="625"/>
      <c r="F112" s="625"/>
      <c r="G112" s="625"/>
      <c r="H112" s="621"/>
      <c r="I112" s="621"/>
      <c r="K112" s="625"/>
      <c r="L112" s="621"/>
      <c r="P112" s="607"/>
      <c r="Q112" s="608"/>
      <c r="T112"/>
      <c r="U112"/>
    </row>
    <row r="113" spans="1:21" s="574" customFormat="1" x14ac:dyDescent="0.4">
      <c r="A113" s="623"/>
      <c r="B113" s="618"/>
      <c r="C113" s="625"/>
      <c r="D113" s="625"/>
      <c r="E113" s="625"/>
      <c r="F113" s="625"/>
      <c r="G113" s="625"/>
      <c r="H113" s="621"/>
      <c r="I113" s="621"/>
      <c r="K113" s="625"/>
      <c r="L113" s="621"/>
      <c r="P113" s="607"/>
      <c r="Q113" s="608"/>
      <c r="T113"/>
      <c r="U113"/>
    </row>
    <row r="114" spans="1:21" s="574" customFormat="1" x14ac:dyDescent="0.4">
      <c r="A114" s="623"/>
      <c r="B114" s="624"/>
      <c r="C114" s="625"/>
      <c r="D114" s="625"/>
      <c r="E114" s="625"/>
      <c r="F114" s="625"/>
      <c r="G114" s="625"/>
      <c r="H114" s="621"/>
      <c r="I114" s="621"/>
      <c r="K114" s="625"/>
      <c r="L114" s="621"/>
      <c r="P114" s="607"/>
      <c r="Q114" s="608"/>
      <c r="T114"/>
      <c r="U114"/>
    </row>
    <row r="115" spans="1:21" s="574" customFormat="1" x14ac:dyDescent="0.4">
      <c r="A115" s="623"/>
      <c r="B115" s="624"/>
      <c r="C115" s="625"/>
      <c r="D115" s="625"/>
      <c r="E115" s="625"/>
      <c r="F115" s="625"/>
      <c r="G115" s="625"/>
      <c r="H115" s="621"/>
      <c r="I115" s="621"/>
      <c r="K115" s="625"/>
      <c r="L115" s="621"/>
      <c r="P115" s="607"/>
      <c r="Q115" s="608"/>
      <c r="T115"/>
      <c r="U115"/>
    </row>
    <row r="116" spans="1:21" s="574" customFormat="1" x14ac:dyDescent="0.4">
      <c r="A116" s="623"/>
      <c r="B116" s="624"/>
      <c r="C116" s="625"/>
      <c r="D116" s="625"/>
      <c r="E116" s="625"/>
      <c r="F116" s="625"/>
      <c r="G116" s="625"/>
      <c r="H116" s="621"/>
      <c r="I116" s="621"/>
      <c r="K116" s="625"/>
      <c r="L116" s="621"/>
      <c r="P116" s="607"/>
      <c r="Q116" s="608"/>
      <c r="T116"/>
      <c r="U116"/>
    </row>
    <row r="117" spans="1:21" s="574" customFormat="1" x14ac:dyDescent="0.4">
      <c r="A117" s="623"/>
      <c r="B117" s="624"/>
      <c r="C117" s="625"/>
      <c r="D117" s="625"/>
      <c r="E117" s="625"/>
      <c r="F117" s="625"/>
      <c r="G117" s="625"/>
      <c r="H117" s="621"/>
      <c r="I117" s="621"/>
      <c r="K117" s="625"/>
      <c r="L117" s="621"/>
      <c r="P117" s="607"/>
      <c r="Q117" s="608"/>
      <c r="T117"/>
      <c r="U117"/>
    </row>
    <row r="118" spans="1:21" s="574" customFormat="1" x14ac:dyDescent="0.4">
      <c r="A118" s="623"/>
      <c r="B118" s="624"/>
      <c r="C118" s="625"/>
      <c r="D118" s="625"/>
      <c r="E118" s="625"/>
      <c r="F118" s="625"/>
      <c r="G118" s="625"/>
      <c r="H118" s="621"/>
      <c r="I118" s="621"/>
      <c r="K118" s="625"/>
      <c r="L118" s="621"/>
      <c r="P118" s="607"/>
      <c r="Q118" s="608"/>
      <c r="T118"/>
      <c r="U118"/>
    </row>
    <row r="119" spans="1:21" s="574" customFormat="1" x14ac:dyDescent="0.4">
      <c r="A119" s="623"/>
      <c r="B119" s="624"/>
      <c r="C119" s="625"/>
      <c r="D119" s="625"/>
      <c r="E119" s="625"/>
      <c r="F119" s="625"/>
      <c r="G119" s="625"/>
      <c r="H119" s="621"/>
      <c r="I119" s="621"/>
      <c r="K119" s="625"/>
      <c r="L119" s="621"/>
      <c r="P119" s="607"/>
      <c r="Q119" s="608"/>
      <c r="T119"/>
      <c r="U119"/>
    </row>
    <row r="120" spans="1:21" s="574" customFormat="1" x14ac:dyDescent="0.4">
      <c r="A120" s="623"/>
      <c r="B120" s="624"/>
      <c r="C120" s="625"/>
      <c r="D120" s="625"/>
      <c r="E120" s="625"/>
      <c r="F120" s="625"/>
      <c r="G120" s="625"/>
      <c r="H120" s="621"/>
      <c r="I120" s="621"/>
      <c r="K120" s="625"/>
      <c r="L120" s="621"/>
      <c r="P120" s="607"/>
      <c r="Q120" s="608"/>
      <c r="T120"/>
      <c r="U120"/>
    </row>
    <row r="121" spans="1:21" s="574" customFormat="1" x14ac:dyDescent="0.4">
      <c r="A121" s="623"/>
      <c r="B121" s="624"/>
      <c r="C121" s="625"/>
      <c r="D121" s="625"/>
      <c r="E121" s="625"/>
      <c r="F121" s="625"/>
      <c r="G121" s="625"/>
      <c r="H121" s="621"/>
      <c r="I121" s="621"/>
      <c r="K121" s="625"/>
      <c r="L121" s="621"/>
      <c r="P121" s="607"/>
      <c r="Q121" s="608"/>
      <c r="T121"/>
      <c r="U121"/>
    </row>
    <row r="122" spans="1:21" s="574" customFormat="1" x14ac:dyDescent="0.4">
      <c r="A122" s="623"/>
      <c r="B122" s="624"/>
      <c r="C122" s="625"/>
      <c r="D122" s="625"/>
      <c r="E122" s="625"/>
      <c r="F122" s="625"/>
      <c r="G122" s="625"/>
      <c r="H122" s="621"/>
      <c r="I122" s="621"/>
      <c r="K122" s="625"/>
      <c r="L122" s="621"/>
      <c r="P122" s="607"/>
      <c r="Q122" s="608"/>
      <c r="T122"/>
      <c r="U122"/>
    </row>
    <row r="123" spans="1:21" s="574" customFormat="1" x14ac:dyDescent="0.4">
      <c r="A123" s="623"/>
      <c r="B123" s="624"/>
      <c r="C123" s="625"/>
      <c r="D123" s="625"/>
      <c r="E123" s="625"/>
      <c r="F123" s="625"/>
      <c r="G123" s="625"/>
      <c r="H123" s="621"/>
      <c r="I123" s="621"/>
      <c r="K123" s="625"/>
      <c r="L123" s="621"/>
      <c r="P123" s="607"/>
      <c r="Q123" s="608"/>
      <c r="T123"/>
      <c r="U123"/>
    </row>
    <row r="124" spans="1:21" s="574" customFormat="1" ht="12.6" x14ac:dyDescent="0.45">
      <c r="A124" s="623"/>
      <c r="B124" s="626"/>
      <c r="C124" s="614"/>
      <c r="D124" s="615"/>
      <c r="E124" s="615"/>
      <c r="F124" s="615"/>
      <c r="G124" s="615"/>
      <c r="H124" s="617"/>
      <c r="I124" s="615"/>
      <c r="K124" s="615"/>
      <c r="L124" s="615"/>
      <c r="P124" s="607"/>
      <c r="Q124" s="608"/>
      <c r="T124"/>
      <c r="U124"/>
    </row>
    <row r="125" spans="1:21" s="574" customFormat="1" x14ac:dyDescent="0.4">
      <c r="A125" s="623"/>
      <c r="B125" s="619"/>
      <c r="C125" s="619"/>
      <c r="D125" s="619"/>
      <c r="E125" s="619"/>
      <c r="F125" s="619"/>
      <c r="G125" s="619"/>
      <c r="H125" s="619"/>
      <c r="I125" s="627"/>
      <c r="K125" s="619"/>
      <c r="L125" s="619"/>
      <c r="P125" s="607"/>
      <c r="Q125" s="608"/>
      <c r="T125"/>
      <c r="U125"/>
    </row>
    <row r="126" spans="1:21" s="574" customFormat="1" x14ac:dyDescent="0.4">
      <c r="A126" s="623"/>
      <c r="B126" s="619"/>
      <c r="C126" s="619"/>
      <c r="D126" s="619"/>
      <c r="E126" s="619"/>
      <c r="F126" s="619"/>
      <c r="G126" s="619"/>
      <c r="H126" s="619"/>
      <c r="I126" s="627"/>
      <c r="K126" s="619"/>
      <c r="L126" s="619"/>
      <c r="P126" s="607"/>
      <c r="Q126" s="608"/>
      <c r="T126"/>
      <c r="U126"/>
    </row>
    <row r="127" spans="1:21" s="574" customFormat="1" x14ac:dyDescent="0.4">
      <c r="A127" s="623"/>
      <c r="B127" s="628"/>
      <c r="C127" s="625"/>
      <c r="D127" s="625"/>
      <c r="E127" s="625"/>
      <c r="F127" s="625"/>
      <c r="G127" s="625"/>
      <c r="H127" s="621"/>
      <c r="I127" s="621"/>
      <c r="K127" s="625"/>
      <c r="L127" s="621"/>
      <c r="P127" s="607"/>
      <c r="Q127" s="608"/>
      <c r="T127"/>
      <c r="U127"/>
    </row>
    <row r="128" spans="1:21" s="574" customFormat="1" x14ac:dyDescent="0.4">
      <c r="A128" s="623"/>
      <c r="B128" s="629"/>
      <c r="C128" s="625"/>
      <c r="D128" s="625"/>
      <c r="E128" s="625"/>
      <c r="F128" s="625"/>
      <c r="G128" s="625"/>
      <c r="H128" s="621"/>
      <c r="I128" s="621"/>
      <c r="K128" s="625"/>
      <c r="L128" s="621"/>
      <c r="P128" s="607"/>
      <c r="Q128" s="608"/>
      <c r="T128"/>
      <c r="U128"/>
    </row>
    <row r="129" spans="1:21" s="574" customFormat="1" x14ac:dyDescent="0.4">
      <c r="A129" s="623"/>
      <c r="B129" s="629"/>
      <c r="C129" s="625"/>
      <c r="D129" s="625"/>
      <c r="E129" s="625"/>
      <c r="F129" s="625"/>
      <c r="G129" s="625"/>
      <c r="H129" s="621"/>
      <c r="I129" s="621"/>
      <c r="K129" s="625"/>
      <c r="L129" s="621"/>
      <c r="P129" s="607"/>
      <c r="Q129" s="608"/>
      <c r="T129"/>
      <c r="U129"/>
    </row>
    <row r="130" spans="1:21" s="574" customFormat="1" x14ac:dyDescent="0.4">
      <c r="A130" s="623"/>
      <c r="B130" s="629"/>
      <c r="C130" s="625"/>
      <c r="D130" s="625"/>
      <c r="E130" s="625"/>
      <c r="F130" s="625"/>
      <c r="G130" s="625"/>
      <c r="H130" s="621"/>
      <c r="I130" s="621"/>
      <c r="K130" s="625"/>
      <c r="L130" s="621"/>
      <c r="P130" s="607"/>
      <c r="Q130" s="608"/>
      <c r="T130"/>
      <c r="U130"/>
    </row>
    <row r="131" spans="1:21" s="574" customFormat="1" x14ac:dyDescent="0.4">
      <c r="A131" s="623"/>
      <c r="B131" s="629"/>
      <c r="C131" s="625"/>
      <c r="D131" s="625"/>
      <c r="E131" s="625"/>
      <c r="F131" s="625"/>
      <c r="G131" s="625"/>
      <c r="H131" s="621"/>
      <c r="I131" s="621"/>
      <c r="K131" s="625"/>
      <c r="L131" s="621"/>
      <c r="P131" s="607"/>
      <c r="Q131" s="608"/>
      <c r="T131"/>
      <c r="U131"/>
    </row>
    <row r="132" spans="1:21" s="574" customFormat="1" x14ac:dyDescent="0.4">
      <c r="A132" s="623"/>
      <c r="B132" s="624"/>
      <c r="C132" s="625"/>
      <c r="D132" s="625"/>
      <c r="E132" s="625"/>
      <c r="F132" s="625"/>
      <c r="G132" s="625"/>
      <c r="H132" s="621"/>
      <c r="I132" s="621"/>
      <c r="K132" s="625"/>
      <c r="L132" s="621"/>
      <c r="P132" s="607"/>
      <c r="Q132" s="608"/>
      <c r="T132"/>
      <c r="U132"/>
    </row>
    <row r="133" spans="1:21" s="574" customFormat="1" x14ac:dyDescent="0.4">
      <c r="A133" s="630"/>
      <c r="B133" s="624"/>
      <c r="C133" s="624"/>
      <c r="D133" s="624"/>
      <c r="E133" s="624"/>
      <c r="F133" s="624"/>
      <c r="G133" s="624"/>
      <c r="H133" s="624"/>
      <c r="I133" s="624"/>
      <c r="P133" s="607"/>
      <c r="Q133" s="608"/>
      <c r="T133"/>
      <c r="U133"/>
    </row>
    <row r="134" spans="1:21" s="574" customFormat="1" x14ac:dyDescent="0.4">
      <c r="A134" s="620"/>
      <c r="B134" s="624"/>
      <c r="C134" s="624"/>
      <c r="D134" s="624"/>
      <c r="E134" s="624"/>
      <c r="F134" s="624"/>
      <c r="G134" s="624"/>
      <c r="H134" s="624"/>
      <c r="I134" s="624"/>
      <c r="P134" s="607"/>
      <c r="Q134" s="608"/>
      <c r="T134"/>
      <c r="U134"/>
    </row>
    <row r="135" spans="1:21" s="574" customFormat="1" x14ac:dyDescent="0.4">
      <c r="A135" s="620"/>
      <c r="B135" s="624"/>
      <c r="C135" s="624"/>
      <c r="D135" s="624"/>
      <c r="E135" s="624"/>
      <c r="F135" s="624"/>
      <c r="G135" s="624"/>
      <c r="H135" s="624"/>
      <c r="I135" s="624"/>
      <c r="P135" s="607"/>
      <c r="Q135" s="608"/>
      <c r="T135"/>
      <c r="U135"/>
    </row>
    <row r="136" spans="1:21" s="574" customFormat="1" x14ac:dyDescent="0.4">
      <c r="A136" s="609"/>
      <c r="B136" s="624"/>
      <c r="C136" s="624"/>
      <c r="D136" s="624"/>
      <c r="E136" s="624"/>
      <c r="F136" s="624"/>
      <c r="G136" s="624"/>
      <c r="H136" s="624"/>
      <c r="I136" s="624"/>
      <c r="P136" s="607"/>
      <c r="Q136" s="608"/>
      <c r="T136"/>
      <c r="U136"/>
    </row>
    <row r="137" spans="1:21" s="574" customFormat="1" x14ac:dyDescent="0.4">
      <c r="A137" s="609"/>
      <c r="B137" s="624"/>
      <c r="C137" s="624"/>
      <c r="D137" s="624"/>
      <c r="E137" s="624"/>
      <c r="F137" s="624"/>
      <c r="G137" s="624"/>
      <c r="H137" s="624"/>
      <c r="I137" s="624"/>
      <c r="P137" s="607"/>
      <c r="Q137" s="608"/>
      <c r="T137"/>
      <c r="U137"/>
    </row>
    <row r="138" spans="1:21" s="574" customFormat="1" x14ac:dyDescent="0.4">
      <c r="C138" s="606"/>
      <c r="D138" s="606"/>
      <c r="E138" s="606"/>
      <c r="F138" s="606"/>
      <c r="G138" s="606"/>
      <c r="H138" s="606"/>
      <c r="P138" s="607"/>
      <c r="Q138" s="608"/>
      <c r="T138"/>
      <c r="U138"/>
    </row>
    <row r="139" spans="1:21" s="574" customFormat="1" x14ac:dyDescent="0.4">
      <c r="C139" s="606"/>
      <c r="D139" s="606"/>
      <c r="E139" s="606"/>
      <c r="F139" s="606"/>
      <c r="G139" s="606"/>
      <c r="H139" s="606"/>
      <c r="P139" s="607"/>
      <c r="Q139" s="608"/>
      <c r="T139"/>
      <c r="U139"/>
    </row>
    <row r="140" spans="1:21" s="574" customFormat="1" x14ac:dyDescent="0.4">
      <c r="C140" s="606"/>
      <c r="D140" s="606"/>
      <c r="E140" s="606"/>
      <c r="F140" s="606"/>
      <c r="G140" s="606"/>
      <c r="H140" s="606"/>
      <c r="P140" s="607"/>
      <c r="Q140" s="608"/>
      <c r="T140"/>
      <c r="U140"/>
    </row>
    <row r="141" spans="1:21" s="574" customFormat="1" x14ac:dyDescent="0.4">
      <c r="C141" s="606"/>
      <c r="D141" s="606"/>
      <c r="E141" s="606"/>
      <c r="F141" s="606"/>
      <c r="G141" s="606"/>
      <c r="H141" s="606"/>
      <c r="P141" s="607"/>
      <c r="Q141" s="608"/>
      <c r="T141"/>
      <c r="U141"/>
    </row>
    <row r="142" spans="1:21" s="574" customFormat="1" x14ac:dyDescent="0.4">
      <c r="C142" s="606"/>
      <c r="D142" s="606"/>
      <c r="E142" s="606"/>
      <c r="F142" s="606"/>
      <c r="G142" s="606"/>
      <c r="H142" s="606"/>
      <c r="P142" s="607"/>
      <c r="Q142" s="608"/>
      <c r="T142"/>
      <c r="U142"/>
    </row>
    <row r="143" spans="1:21" s="574" customFormat="1" x14ac:dyDescent="0.4">
      <c r="C143" s="606"/>
      <c r="D143" s="606"/>
      <c r="E143" s="606"/>
      <c r="F143" s="606"/>
      <c r="G143" s="606"/>
      <c r="H143" s="606"/>
      <c r="P143" s="607"/>
      <c r="Q143" s="608"/>
      <c r="T143"/>
      <c r="U143"/>
    </row>
    <row r="144" spans="1:21" s="574" customFormat="1" x14ac:dyDescent="0.4">
      <c r="C144" s="606"/>
      <c r="D144" s="606"/>
      <c r="E144" s="606"/>
      <c r="F144" s="606"/>
      <c r="G144" s="606"/>
      <c r="H144" s="606"/>
      <c r="P144" s="607"/>
      <c r="Q144" s="608"/>
      <c r="T144"/>
      <c r="U144"/>
    </row>
    <row r="145" spans="3:21" s="574" customFormat="1" x14ac:dyDescent="0.4">
      <c r="C145" s="606"/>
      <c r="D145" s="606"/>
      <c r="E145" s="606"/>
      <c r="F145" s="606"/>
      <c r="G145" s="606"/>
      <c r="H145" s="606"/>
      <c r="P145" s="607"/>
      <c r="Q145" s="608"/>
      <c r="T145"/>
      <c r="U145"/>
    </row>
    <row r="146" spans="3:21" s="574" customFormat="1" x14ac:dyDescent="0.4">
      <c r="C146" s="606"/>
      <c r="D146" s="606"/>
      <c r="E146" s="606"/>
      <c r="F146" s="606"/>
      <c r="G146" s="606"/>
      <c r="H146" s="606"/>
      <c r="P146" s="607"/>
      <c r="Q146" s="608"/>
      <c r="T146"/>
      <c r="U146"/>
    </row>
  </sheetData>
  <sheetProtection algorithmName="SHA-512" hashValue="ozXMbE9iHhUbdUtIl0qIhH/EO41KfLs+tA31ETkESr5RP2CDid2wpDeWOIgjCvdMyQusrTdBblrvhn6nFxGkZg==" saltValue="Hnty5F9F6bXh2znmHb8bIQ==" spinCount="100000" sheet="1" selectLockedCells="1"/>
  <autoFilter ref="U9:U70" xr:uid="{00000000-0001-0000-0000-000000000000}">
    <filterColumn colId="0">
      <filters>
        <filter val="1"/>
      </filters>
    </filterColumn>
  </autoFilter>
  <mergeCells count="8">
    <mergeCell ref="P79:Q79"/>
    <mergeCell ref="R79:S79"/>
    <mergeCell ref="A78:S78"/>
    <mergeCell ref="A3:S4"/>
    <mergeCell ref="V3:AO3"/>
    <mergeCell ref="A71:S71"/>
    <mergeCell ref="P72:Q72"/>
    <mergeCell ref="R72:S72"/>
  </mergeCells>
  <phoneticPr fontId="27" type="noConversion"/>
  <conditionalFormatting sqref="R19">
    <cfRule type="colorScale" priority="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R24:R25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R45:R47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R61:R65">
    <cfRule type="colorScale" priority="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R13:T18 R20:T22">
    <cfRule type="colorScale" priority="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R74:T77 R81:T84 T78:T80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rintOptions gridLines="1" gridLinesSet="0"/>
  <pageMargins left="0.78740157480314965" right="0.19685039370078741" top="0.59055118110236227" bottom="0.59055118110236227" header="0.51181102362204722" footer="0.31496062992125984"/>
  <pageSetup paperSize="9" scale="71" fitToWidth="0" fitToHeight="0" orientation="landscape" useFirstPageNumber="1" horizontalDpi="4294967292" r:id="rId1"/>
  <headerFooter alignWithMargins="0">
    <oddFooter>&amp;L&amp;D&amp;T
&amp;F&amp;CSeite: &amp;P&amp;RDeecke, Betriebsw. Büro Göttingen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EFD539-F309-4491-9854-7758BB41B227}">
  <dimension ref="A1:G20"/>
  <sheetViews>
    <sheetView workbookViewId="0">
      <selection activeCell="E3" sqref="E3"/>
    </sheetView>
  </sheetViews>
  <sheetFormatPr baseColWidth="10" defaultColWidth="11.5" defaultRowHeight="12.3" x14ac:dyDescent="0.4"/>
  <cols>
    <col min="1" max="1" width="80.88671875" bestFit="1" customWidth="1"/>
    <col min="2" max="2" width="74.38671875" bestFit="1" customWidth="1"/>
    <col min="3" max="3" width="39" bestFit="1" customWidth="1"/>
    <col min="4" max="4" width="25.33203125" customWidth="1"/>
  </cols>
  <sheetData>
    <row r="1" spans="1:7" x14ac:dyDescent="0.4">
      <c r="A1" t="s">
        <v>75</v>
      </c>
      <c r="B1" t="s">
        <v>76</v>
      </c>
      <c r="C1" t="s">
        <v>77</v>
      </c>
      <c r="E1" s="390" t="str">
        <f>+C2</f>
        <v>frei Hof (Strecke) mind. 250 dt</v>
      </c>
    </row>
    <row r="2" spans="1:7" x14ac:dyDescent="0.4">
      <c r="A2" t="s">
        <v>78</v>
      </c>
      <c r="B2" t="s">
        <v>79</v>
      </c>
      <c r="C2" t="s">
        <v>80</v>
      </c>
      <c r="D2" s="390" t="s">
        <v>81</v>
      </c>
      <c r="E2" s="390" t="s">
        <v>82</v>
      </c>
      <c r="F2" s="390" t="s">
        <v>83</v>
      </c>
      <c r="G2" s="390" t="s">
        <v>84</v>
      </c>
    </row>
    <row r="3" spans="1:7" x14ac:dyDescent="0.4">
      <c r="A3" t="s">
        <v>85</v>
      </c>
      <c r="B3" t="s">
        <v>532</v>
      </c>
      <c r="C3" t="s">
        <v>533</v>
      </c>
      <c r="D3" t="str">
        <f>+Düngemittelpreise___________Preisermittlung_der_Landwirtschaftskammer_für_die_144[[#This Row],[Achtung:  Zum Teil nur Einzelmeldungen und zeitlich begrenzte Kurse.
				Sortiere aufsteigend Sortiere absteigend]]</f>
        <v>Kalkamonsalpeter 27 % N</v>
      </c>
      <c r="E3" s="392">
        <f>+VALUE(LEFT(Düngemittelpreise___________Preisermittlung_der_Landwirtschaftskammer_für_die_144[[#This Row],[Preise je dt (100 kg)!
				Sortiere aufsteigend Sortiere absteigend]],4))</f>
        <v>29.5</v>
      </c>
      <c r="F3" s="392">
        <f>VALUE(RIGHT(Düngemittelpreise___________Preisermittlung_der_Landwirtschaftskammer_für_die_144[[#This Row],[Preise je dt (100 kg)!
				Sortiere aufsteigend Sortiere absteigend]],5))</f>
        <v>32.5</v>
      </c>
      <c r="G3" s="391">
        <f>+AVERAGE(E3,F3)</f>
        <v>31</v>
      </c>
    </row>
    <row r="4" spans="1:7" x14ac:dyDescent="0.4">
      <c r="A4" t="s">
        <v>86</v>
      </c>
      <c r="B4" t="s">
        <v>534</v>
      </c>
      <c r="C4" t="s">
        <v>535</v>
      </c>
      <c r="D4" t="str">
        <f>+Düngemittelpreise___________Preisermittlung_der_Landwirtschaftskammer_für_die_144[[#This Row],[Achtung:  Zum Teil nur Einzelmeldungen und zeitlich begrenzte Kurse.
				Sortiere aufsteigend Sortiere absteigend]]</f>
        <v>Harnstoff, 46 % N, stabilisiert</v>
      </c>
      <c r="E4" s="392">
        <f>+VALUE(LEFT(Düngemittelpreise___________Preisermittlung_der_Landwirtschaftskammer_für_die_144[[#This Row],[Preise je dt (100 kg)!
				Sortiere aufsteigend Sortiere absteigend]],4))</f>
        <v>43</v>
      </c>
      <c r="F4" s="392">
        <f>VALUE(RIGHT(Düngemittelpreise___________Preisermittlung_der_Landwirtschaftskammer_für_die_144[[#This Row],[Preise je dt (100 kg)!
				Sortiere aufsteigend Sortiere absteigend]],5))</f>
        <v>46.5</v>
      </c>
      <c r="G4" s="391">
        <f t="shared" ref="G4:G20" si="0">+AVERAGE(E4,F4)</f>
        <v>44.75</v>
      </c>
    </row>
    <row r="5" spans="1:7" x14ac:dyDescent="0.4">
      <c r="A5" t="s">
        <v>87</v>
      </c>
      <c r="B5" t="s">
        <v>536</v>
      </c>
      <c r="C5" t="s">
        <v>520</v>
      </c>
      <c r="D5" t="str">
        <f>+Düngemittelpreise___________Preisermittlung_der_Landwirtschaftskammer_für_die_144[[#This Row],[Achtung:  Zum Teil nur Einzelmeldungen und zeitlich begrenzte Kurse.
				Sortiere aufsteigend Sortiere absteigend]]</f>
        <v>Ammonnitrat-Harnstoff-Lösung AHL 28% N</v>
      </c>
      <c r="E5" s="392">
        <f>+VALUE(LEFT(Düngemittelpreise___________Preisermittlung_der_Landwirtschaftskammer_für_die_144[[#This Row],[Preise je dt (100 kg)!
				Sortiere aufsteigend Sortiere absteigend]],4))</f>
        <v>27</v>
      </c>
      <c r="F5" s="392">
        <f>VALUE(RIGHT(Düngemittelpreise___________Preisermittlung_der_Landwirtschaftskammer_für_die_144[[#This Row],[Preise je dt (100 kg)!
				Sortiere aufsteigend Sortiere absteigend]],5))</f>
        <v>31.5</v>
      </c>
      <c r="G5" s="391">
        <f t="shared" si="0"/>
        <v>29.25</v>
      </c>
    </row>
    <row r="6" spans="1:7" x14ac:dyDescent="0.4">
      <c r="A6" t="s">
        <v>88</v>
      </c>
      <c r="B6" t="s">
        <v>537</v>
      </c>
      <c r="C6" t="s">
        <v>538</v>
      </c>
      <c r="D6" t="str">
        <f>+Düngemittelpreise___________Preisermittlung_der_Landwirtschaftskammer_für_die_144[[#This Row],[Achtung:  Zum Teil nur Einzelmeldungen und zeitlich begrenzte Kurse.
				Sortiere aufsteigend Sortiere absteigend]]</f>
        <v>Diamonphosphat, 18% N + 46 % P2O5</v>
      </c>
      <c r="E6" s="392">
        <f>+VALUE(LEFT(Düngemittelpreise___________Preisermittlung_der_Landwirtschaftskammer_für_die_144[[#This Row],[Preise je dt (100 kg)!
				Sortiere aufsteigend Sortiere absteigend]],4))</f>
        <v>62.5</v>
      </c>
      <c r="F6" s="392">
        <f>VALUE(RIGHT(Düngemittelpreise___________Preisermittlung_der_Landwirtschaftskammer_für_die_144[[#This Row],[Preise je dt (100 kg)!
				Sortiere aufsteigend Sortiere absteigend]],5))</f>
        <v>67.5</v>
      </c>
      <c r="G6" s="391">
        <f t="shared" si="0"/>
        <v>65</v>
      </c>
    </row>
    <row r="7" spans="1:7" x14ac:dyDescent="0.4">
      <c r="A7" t="s">
        <v>89</v>
      </c>
      <c r="B7" t="s">
        <v>539</v>
      </c>
      <c r="C7" t="s">
        <v>540</v>
      </c>
      <c r="D7" t="str">
        <f>+Düngemittelpreise___________Preisermittlung_der_Landwirtschaftskammer_für_die_144[[#This Row],[Achtung:  Zum Teil nur Einzelmeldungen und zeitlich begrenzte Kurse.
				Sortiere aufsteigend Sortiere absteigend]]</f>
        <v>Triple-Phosphat, 46 % P2O5</v>
      </c>
      <c r="E7" s="392">
        <f>+VALUE(LEFT(Düngemittelpreise___________Preisermittlung_der_Landwirtschaftskammer_für_die_144[[#This Row],[Preise je dt (100 kg)!
				Sortiere aufsteigend Sortiere absteigend]],4))</f>
        <v>49</v>
      </c>
      <c r="F7" s="392">
        <f>VALUE(RIGHT(Düngemittelpreise___________Preisermittlung_der_Landwirtschaftskammer_für_die_144[[#This Row],[Preise je dt (100 kg)!
				Sortiere aufsteigend Sortiere absteigend]],5))</f>
        <v>53.5</v>
      </c>
      <c r="G7" s="391">
        <f t="shared" si="0"/>
        <v>51.25</v>
      </c>
    </row>
    <row r="8" spans="1:7" x14ac:dyDescent="0.4">
      <c r="A8" t="s">
        <v>90</v>
      </c>
      <c r="B8" t="s">
        <v>532</v>
      </c>
      <c r="C8" t="s">
        <v>541</v>
      </c>
      <c r="D8" t="str">
        <f>+Düngemittelpreise___________Preisermittlung_der_Landwirtschaftskammer_für_die_144[[#This Row],[Achtung:  Zum Teil nur Einzelmeldungen und zeitlich begrenzte Kurse.
				Sortiere aufsteigend Sortiere absteigend]]</f>
        <v>40er Kornkali + Mg 40 % K2O+6%MgO</v>
      </c>
      <c r="E8" s="392">
        <f>+VALUE(LEFT(Düngemittelpreise___________Preisermittlung_der_Landwirtschaftskammer_für_die_144[[#This Row],[Preise je dt (100 kg)!
				Sortiere aufsteigend Sortiere absteigend]],4))</f>
        <v>29.5</v>
      </c>
      <c r="F8" s="392">
        <f>VALUE(RIGHT(Düngemittelpreise___________Preisermittlung_der_Landwirtschaftskammer_für_die_144[[#This Row],[Preise je dt (100 kg)!
				Sortiere aufsteigend Sortiere absteigend]],5))</f>
        <v>32.5</v>
      </c>
      <c r="G8" s="391">
        <f t="shared" si="0"/>
        <v>31</v>
      </c>
    </row>
    <row r="9" spans="1:7" x14ac:dyDescent="0.4">
      <c r="A9" t="s">
        <v>91</v>
      </c>
      <c r="B9" t="s">
        <v>542</v>
      </c>
      <c r="C9" t="s">
        <v>543</v>
      </c>
      <c r="D9" t="str">
        <f>+Düngemittelpreise___________Preisermittlung_der_Landwirtschaftskammer_für_die_144[[#This Row],[Achtung:  Zum Teil nur Einzelmeldungen und zeitlich begrenzte Kurse.
				Sortiere aufsteigend Sortiere absteigend]]</f>
        <v>Magnesia-Kainit 11 % K2O+5%MgO</v>
      </c>
      <c r="E9" s="392">
        <f>+VALUE(LEFT(Düngemittelpreise___________Preisermittlung_der_Landwirtschaftskammer_für_die_144[[#This Row],[Preise je dt (100 kg)!
				Sortiere aufsteigend Sortiere absteigend]],4))</f>
        <v>14</v>
      </c>
      <c r="F9" s="392">
        <f>VALUE(RIGHT(Düngemittelpreise___________Preisermittlung_der_Landwirtschaftskammer_für_die_144[[#This Row],[Preise je dt (100 kg)!
				Sortiere aufsteigend Sortiere absteigend]],5))</f>
        <v>17.5</v>
      </c>
      <c r="G9" s="391">
        <f t="shared" si="0"/>
        <v>15.75</v>
      </c>
    </row>
    <row r="10" spans="1:7" x14ac:dyDescent="0.4">
      <c r="A10" t="s">
        <v>92</v>
      </c>
      <c r="B10" t="s">
        <v>544</v>
      </c>
      <c r="C10" t="s">
        <v>545</v>
      </c>
      <c r="D10" t="str">
        <f>+Düngemittelpreise___________Preisermittlung_der_Landwirtschaftskammer_für_die_144[[#This Row],[Achtung:  Zum Teil nur Einzelmeldungen und zeitlich begrenzte Kurse.
				Sortiere aufsteigend Sortiere absteigend]]</f>
        <v>Kalimagnesia 30 % K2O+ 10%MgO/Patentkali</v>
      </c>
      <c r="E10" s="392">
        <f>+VALUE(LEFT(Düngemittelpreise___________Preisermittlung_der_Landwirtschaftskammer_für_die_144[[#This Row],[Preise je dt (100 kg)!
				Sortiere aufsteigend Sortiere absteigend]],4))</f>
        <v>41.5</v>
      </c>
      <c r="F10" s="392">
        <f>VALUE(RIGHT(Düngemittelpreise___________Preisermittlung_der_Landwirtschaftskammer_für_die_144[[#This Row],[Preise je dt (100 kg)!
				Sortiere aufsteigend Sortiere absteigend]],5))</f>
        <v>45</v>
      </c>
      <c r="G10" s="391">
        <f t="shared" si="0"/>
        <v>43.25</v>
      </c>
    </row>
    <row r="11" spans="1:7" x14ac:dyDescent="0.4">
      <c r="A11" t="s">
        <v>93</v>
      </c>
      <c r="B11" t="s">
        <v>546</v>
      </c>
      <c r="C11" t="s">
        <v>547</v>
      </c>
      <c r="D11" t="str">
        <f>+Düngemittelpreise___________Preisermittlung_der_Landwirtschaftskammer_für_die_144[[#This Row],[Achtung:  Zum Teil nur Einzelmeldungen und zeitlich begrenzte Kurse.
				Sortiere aufsteigend Sortiere absteigend]]</f>
        <v>Schwefelsaures Amoniak 21% N + 24% S,</v>
      </c>
      <c r="E11" s="392">
        <f>+VALUE(LEFT(Düngemittelpreise___________Preisermittlung_der_Landwirtschaftskammer_für_die_144[[#This Row],[Preise je dt (100 kg)!
				Sortiere aufsteigend Sortiere absteigend]],4))</f>
        <v>26</v>
      </c>
      <c r="F11" s="392">
        <f>VALUE(RIGHT(Düngemittelpreise___________Preisermittlung_der_Landwirtschaftskammer_für_die_144[[#This Row],[Preise je dt (100 kg)!
				Sortiere aufsteigend Sortiere absteigend]],5))</f>
        <v>30.5</v>
      </c>
      <c r="G11" s="391">
        <f t="shared" si="0"/>
        <v>28.25</v>
      </c>
    </row>
    <row r="12" spans="1:7" x14ac:dyDescent="0.4">
      <c r="A12" t="s">
        <v>94</v>
      </c>
      <c r="B12" t="s">
        <v>548</v>
      </c>
      <c r="C12" t="s">
        <v>549</v>
      </c>
      <c r="D12" t="str">
        <f>+Düngemittelpreise___________Preisermittlung_der_Landwirtschaftskammer_für_die_144[[#This Row],[Achtung:  Zum Teil nur Einzelmeldungen und zeitlich begrenzte Kurse.
				Sortiere aufsteigend Sortiere absteigend]]</f>
        <v>Piamon</v>
      </c>
      <c r="E12" s="392">
        <f>+VALUE(LEFT(Düngemittelpreise___________Preisermittlung_der_Landwirtschaftskammer_für_die_144[[#This Row],[Preise je dt (100 kg)!
				Sortiere aufsteigend Sortiere absteigend]],4))</f>
        <v>40</v>
      </c>
      <c r="F12" s="392">
        <f>VALUE(RIGHT(Düngemittelpreise___________Preisermittlung_der_Landwirtschaftskammer_für_die_144[[#This Row],[Preise je dt (100 kg)!
				Sortiere aufsteigend Sortiere absteigend]],5))</f>
        <v>46</v>
      </c>
      <c r="G12" s="391">
        <f t="shared" si="0"/>
        <v>43</v>
      </c>
    </row>
    <row r="13" spans="1:7" x14ac:dyDescent="0.4">
      <c r="A13" t="s">
        <v>95</v>
      </c>
      <c r="B13" t="s">
        <v>550</v>
      </c>
      <c r="C13" t="s">
        <v>551</v>
      </c>
      <c r="D13" t="str">
        <f>+Düngemittelpreise___________Preisermittlung_der_Landwirtschaftskammer_für_die_144[[#This Row],[Achtung:  Zum Teil nur Einzelmeldungen und zeitlich begrenzte Kurse.
				Sortiere aufsteigend Sortiere absteigend]]</f>
        <v>Ammonsulfatsalpeter 26% N + 13 %S</v>
      </c>
      <c r="E13" s="392">
        <f>+VALUE(LEFT(Düngemittelpreise___________Preisermittlung_der_Landwirtschaftskammer_für_die_144[[#This Row],[Preise je dt (100 kg)!
				Sortiere aufsteigend Sortiere absteigend]],4))</f>
        <v>33.5</v>
      </c>
      <c r="F13" s="392">
        <f>VALUE(RIGHT(Düngemittelpreise___________Preisermittlung_der_Landwirtschaftskammer_für_die_144[[#This Row],[Preise je dt (100 kg)!
				Sortiere aufsteigend Sortiere absteigend]],5))</f>
        <v>38.5</v>
      </c>
      <c r="G13" s="391">
        <f t="shared" si="0"/>
        <v>36</v>
      </c>
    </row>
    <row r="14" spans="1:7" x14ac:dyDescent="0.4">
      <c r="A14" t="s">
        <v>96</v>
      </c>
      <c r="B14" t="s">
        <v>552</v>
      </c>
      <c r="C14" t="s">
        <v>553</v>
      </c>
      <c r="D14" t="str">
        <f>+Düngemittelpreise___________Preisermittlung_der_Landwirtschaftskammer_für_die_144[[#This Row],[Achtung:  Zum Teil nur Einzelmeldungen und zeitlich begrenzte Kurse.
				Sortiere aufsteigend Sortiere absteigend]]</f>
        <v>Kohlensauer Kalk, 80 % CaCO3 + 5 MgCO3</v>
      </c>
      <c r="E14" s="392">
        <f>+VALUE(LEFT(Düngemittelpreise___________Preisermittlung_der_Landwirtschaftskammer_für_die_144[[#This Row],[Preise je dt (100 kg)!
				Sortiere aufsteigend Sortiere absteigend]],4))</f>
        <v>3.2</v>
      </c>
      <c r="F14" s="392">
        <f>VALUE(RIGHT(Düngemittelpreise___________Preisermittlung_der_Landwirtschaftskammer_für_die_144[[#This Row],[Preise je dt (100 kg)!
				Sortiere aufsteigend Sortiere absteigend]],5))</f>
        <v>4.9000000000000004</v>
      </c>
      <c r="G14" s="391">
        <f t="shared" si="0"/>
        <v>4.0500000000000007</v>
      </c>
    </row>
    <row r="15" spans="1:7" x14ac:dyDescent="0.4">
      <c r="A15" t="s">
        <v>97</v>
      </c>
      <c r="B15" t="s">
        <v>98</v>
      </c>
      <c r="C15" t="s">
        <v>521</v>
      </c>
      <c r="D15" t="str">
        <f>+Düngemittelpreise___________Preisermittlung_der_Landwirtschaftskammer_für_die_144[[#This Row],[Achtung:  Zum Teil nur Einzelmeldungen und zeitlich begrenzte Kurse.
				Sortiere aufsteigend Sortiere absteigend]]</f>
        <v>Alzon</v>
      </c>
      <c r="E15" s="392">
        <f>+VALUE(LEFT(Düngemittelpreise___________Preisermittlung_der_Landwirtschaftskammer_für_die_144[[#This Row],[Preise je dt (100 kg)!
				Sortiere aufsteigend Sortiere absteigend]],4))</f>
        <v>0</v>
      </c>
      <c r="F15" s="392">
        <f>VALUE(RIGHT(Düngemittelpreise___________Preisermittlung_der_Landwirtschaftskammer_für_die_144[[#This Row],[Preise je dt (100 kg)!
				Sortiere aufsteigend Sortiere absteigend]],5))</f>
        <v>0</v>
      </c>
      <c r="G15" s="391">
        <f t="shared" si="0"/>
        <v>0</v>
      </c>
    </row>
    <row r="16" spans="1:7" x14ac:dyDescent="0.4">
      <c r="A16" t="s">
        <v>99</v>
      </c>
      <c r="B16" t="s">
        <v>554</v>
      </c>
      <c r="C16" t="s">
        <v>555</v>
      </c>
      <c r="D16" t="str">
        <f>+Düngemittelpreise___________Preisermittlung_der_Landwirtschaftskammer_für_die_144[[#This Row],[Achtung:  Zum Teil nur Einzelmeldungen und zeitlich begrenzte Kurse.
				Sortiere aufsteigend Sortiere absteigend]]</f>
        <v>Sulfan 24%N + 6%S</v>
      </c>
      <c r="E16" s="392">
        <f>+VALUE(LEFT(Düngemittelpreise___________Preisermittlung_der_Landwirtschaftskammer_für_die_144[[#This Row],[Preise je dt (100 kg)!
				Sortiere aufsteigend Sortiere absteigend]],4))</f>
        <v>32.200000000000003</v>
      </c>
      <c r="F16" s="392">
        <f>VALUE(RIGHT(Düngemittelpreise___________Preisermittlung_der_Landwirtschaftskammer_für_die_144[[#This Row],[Preise je dt (100 kg)!
				Sortiere aufsteigend Sortiere absteigend]],5))</f>
        <v>34.4</v>
      </c>
      <c r="G16" s="391">
        <f t="shared" si="0"/>
        <v>33.299999999999997</v>
      </c>
    </row>
    <row r="17" spans="1:7" x14ac:dyDescent="0.4">
      <c r="A17" t="s">
        <v>100</v>
      </c>
      <c r="B17" t="s">
        <v>98</v>
      </c>
      <c r="C17" t="s">
        <v>522</v>
      </c>
      <c r="D17" t="str">
        <f>+Düngemittelpreise___________Preisermittlung_der_Landwirtschaftskammer_für_die_144[[#This Row],[Achtung:  Zum Teil nur Einzelmeldungen und zeitlich begrenzte Kurse.
				Sortiere aufsteigend Sortiere absteigend]]</f>
        <v>YaraMila Mais (19% N, 17% P2O5 , 6S)</v>
      </c>
      <c r="E17" s="392">
        <f>+VALUE(LEFT(Düngemittelpreise___________Preisermittlung_der_Landwirtschaftskammer_für_die_144[[#This Row],[Preise je dt (100 kg)!
				Sortiere aufsteigend Sortiere absteigend]],4))</f>
        <v>0</v>
      </c>
      <c r="F17" s="392">
        <f>VALUE(RIGHT(Düngemittelpreise___________Preisermittlung_der_Landwirtschaftskammer_für_die_144[[#This Row],[Preise je dt (100 kg)!
				Sortiere aufsteigend Sortiere absteigend]],5))</f>
        <v>0</v>
      </c>
      <c r="G17" s="391">
        <f t="shared" si="0"/>
        <v>0</v>
      </c>
    </row>
    <row r="18" spans="1:7" x14ac:dyDescent="0.4">
      <c r="A18" t="s">
        <v>101</v>
      </c>
      <c r="B18" t="s">
        <v>556</v>
      </c>
      <c r="C18" t="s">
        <v>557</v>
      </c>
      <c r="D18" t="str">
        <f>+Düngemittelpreise___________Preisermittlung_der_Landwirtschaftskammer_für_die_144[[#This Row],[Achtung:  Zum Teil nur Einzelmeldungen und zeitlich begrenzte Kurse.
				Sortiere aufsteigend Sortiere absteigend]]</f>
        <v>Maisdünger NP 20/20</v>
      </c>
      <c r="E18" s="392">
        <f>+VALUE(LEFT(Düngemittelpreise___________Preisermittlung_der_Landwirtschaftskammer_für_die_144[[#This Row],[Preise je dt (100 kg)!
				Sortiere aufsteigend Sortiere absteigend]],4))</f>
        <v>44.5</v>
      </c>
      <c r="F18" s="392">
        <f>VALUE(RIGHT(Düngemittelpreise___________Preisermittlung_der_Landwirtschaftskammer_für_die_144[[#This Row],[Preise je dt (100 kg)!
				Sortiere aufsteigend Sortiere absteigend]],5))</f>
        <v>48.5</v>
      </c>
      <c r="G18" s="391">
        <f t="shared" si="0"/>
        <v>46.5</v>
      </c>
    </row>
    <row r="19" spans="1:7" x14ac:dyDescent="0.4">
      <c r="A19" t="s">
        <v>102</v>
      </c>
      <c r="B19" t="s">
        <v>558</v>
      </c>
      <c r="C19" t="s">
        <v>559</v>
      </c>
      <c r="D19" t="str">
        <f>+Düngemittelpreise___________Preisermittlung_der_Landwirtschaftskammer_für_die_144[[#This Row],[Achtung:  Zum Teil nur Einzelmeldungen und zeitlich begrenzte Kurse.
				Sortiere aufsteigend Sortiere absteigend]]</f>
        <v>Kieserit, 25/20</v>
      </c>
      <c r="E19" s="392">
        <f>+VALUE(LEFT(Düngemittelpreise___________Preisermittlung_der_Landwirtschaftskammer_für_die_144[[#This Row],[Preise je dt (100 kg)!
				Sortiere aufsteigend Sortiere absteigend]],4))</f>
        <v>27.8</v>
      </c>
      <c r="F19" s="392">
        <f>VALUE(RIGHT(Düngemittelpreise___________Preisermittlung_der_Landwirtschaftskammer_für_die_144[[#This Row],[Preise je dt (100 kg)!
				Sortiere aufsteigend Sortiere absteigend]],5))</f>
        <v>31.8</v>
      </c>
      <c r="G19" s="391">
        <f t="shared" si="0"/>
        <v>29.8</v>
      </c>
    </row>
    <row r="20" spans="1:7" x14ac:dyDescent="0.4">
      <c r="A20" t="s">
        <v>103</v>
      </c>
      <c r="B20" t="s">
        <v>560</v>
      </c>
      <c r="C20" t="s">
        <v>561</v>
      </c>
      <c r="D20" t="str">
        <f>+Düngemittelpreise___________Preisermittlung_der_Landwirtschaftskammer_für_die_144[[#This Row],[Achtung:  Zum Teil nur Einzelmeldungen und zeitlich begrenzte Kurse.
				Sortiere aufsteigend Sortiere absteigend]]</f>
        <v>Volldünger, 15/5/15</v>
      </c>
      <c r="E20" s="392">
        <f>+VALUE(LEFT(Düngemittelpreise___________Preisermittlung_der_Landwirtschaftskammer_für_die_144[[#This Row],[Preise je dt (100 kg)!
				Sortiere aufsteigend Sortiere absteigend]],4))</f>
        <v>41.5</v>
      </c>
      <c r="F20" s="392">
        <f>VALUE(RIGHT(Düngemittelpreise___________Preisermittlung_der_Landwirtschaftskammer_für_die_144[[#This Row],[Preise je dt (100 kg)!
				Sortiere aufsteigend Sortiere absteigend]],5))</f>
        <v>45.5</v>
      </c>
      <c r="G20" s="391">
        <f t="shared" si="0"/>
        <v>43.5</v>
      </c>
    </row>
  </sheetData>
  <phoneticPr fontId="15" type="noConversion"/>
  <pageMargins left="0.7" right="0.7" top="0.78740157499999996" bottom="0.78740157499999996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64EA6C-6785-4F12-8F84-B1098A1ECB95}">
  <dimension ref="A1:G22"/>
  <sheetViews>
    <sheetView workbookViewId="0">
      <selection activeCell="E3" sqref="E3"/>
    </sheetView>
  </sheetViews>
  <sheetFormatPr baseColWidth="10" defaultRowHeight="12.3" x14ac:dyDescent="0.4"/>
  <cols>
    <col min="1" max="1" width="71.109375" bestFit="1" customWidth="1"/>
    <col min="2" max="3" width="33.5546875" bestFit="1" customWidth="1"/>
    <col min="4" max="4" width="24.1640625" customWidth="1"/>
  </cols>
  <sheetData>
    <row r="1" spans="1:7" x14ac:dyDescent="0.4">
      <c r="A1" t="s">
        <v>562</v>
      </c>
      <c r="B1" t="s">
        <v>563</v>
      </c>
      <c r="C1" t="s">
        <v>564</v>
      </c>
    </row>
    <row r="2" spans="1:7" x14ac:dyDescent="0.4">
      <c r="A2" t="s">
        <v>565</v>
      </c>
      <c r="B2" t="s">
        <v>77</v>
      </c>
      <c r="C2" t="s">
        <v>77</v>
      </c>
    </row>
    <row r="3" spans="1:7" x14ac:dyDescent="0.4">
      <c r="A3" t="s">
        <v>566</v>
      </c>
      <c r="B3" t="s">
        <v>567</v>
      </c>
      <c r="C3" t="s">
        <v>78</v>
      </c>
      <c r="E3" s="390"/>
    </row>
    <row r="4" spans="1:7" x14ac:dyDescent="0.4">
      <c r="A4" t="s">
        <v>78</v>
      </c>
      <c r="B4" t="s">
        <v>79</v>
      </c>
      <c r="C4" t="s">
        <v>80</v>
      </c>
      <c r="D4" s="390" t="s">
        <v>81</v>
      </c>
      <c r="E4" s="390" t="s">
        <v>82</v>
      </c>
      <c r="F4" s="390" t="s">
        <v>83</v>
      </c>
      <c r="G4" s="390" t="s">
        <v>84</v>
      </c>
    </row>
    <row r="5" spans="1:7" x14ac:dyDescent="0.4">
      <c r="A5" t="s">
        <v>85</v>
      </c>
      <c r="B5" t="s">
        <v>578</v>
      </c>
      <c r="C5" t="s">
        <v>579</v>
      </c>
      <c r="D5" t="str">
        <f>+Tabelle_1[[#This Row],[Column1]]</f>
        <v>Kalkamonsalpeter 27 % N</v>
      </c>
      <c r="E5" s="392">
        <f>+VALUE(LEFT(Tabelle_1[[#This Row],[Column3]],4))</f>
        <v>32.700000000000003</v>
      </c>
      <c r="F5" s="392">
        <f>VALUE(RIGHT(Tabelle_1[[#This Row],[Column3]],5))</f>
        <v>36</v>
      </c>
      <c r="G5" s="391">
        <f>+IF(AND(AVERAGE(E5,F5)&gt;0,ISNUMBER(AVERAGE(E5,F5))),AVERAGE(E5,F5),0)</f>
        <v>34.35</v>
      </c>
    </row>
    <row r="6" spans="1:7" x14ac:dyDescent="0.4">
      <c r="A6" t="s">
        <v>86</v>
      </c>
      <c r="B6" t="s">
        <v>580</v>
      </c>
      <c r="C6" t="s">
        <v>581</v>
      </c>
      <c r="D6" t="str">
        <f>+Tabelle_1[[#This Row],[Column1]]</f>
        <v>Harnstoff, 46 % N, stabilisiert</v>
      </c>
      <c r="E6" s="392">
        <f>+VALUE(LEFT(Tabelle_1[[#This Row],[Column3]],4))</f>
        <v>47.5</v>
      </c>
      <c r="F6" s="392">
        <f>VALUE(RIGHT(Tabelle_1[[#This Row],[Column3]],5))</f>
        <v>52.5</v>
      </c>
      <c r="G6" s="391">
        <f t="shared" ref="G6:G22" si="0">+IF(AND(AVERAGE(E6,F6)&gt;0,ISNUMBER(AVERAGE(E6,F6))),AVERAGE(E6,F6),0)</f>
        <v>50</v>
      </c>
    </row>
    <row r="7" spans="1:7" x14ac:dyDescent="0.4">
      <c r="A7" t="s">
        <v>87</v>
      </c>
      <c r="B7" t="s">
        <v>582</v>
      </c>
      <c r="C7" t="s">
        <v>583</v>
      </c>
      <c r="D7" t="str">
        <f>+Tabelle_1[[#This Row],[Column1]]</f>
        <v>Ammonnitrat-Harnstoff-Lösung AHL 28% N</v>
      </c>
      <c r="E7" s="392">
        <f>+VALUE(LEFT(Tabelle_1[[#This Row],[Column3]],4))</f>
        <v>33</v>
      </c>
      <c r="F7" s="392">
        <f>VALUE(RIGHT(Tabelle_1[[#This Row],[Column3]],5))</f>
        <v>35.5</v>
      </c>
      <c r="G7" s="391">
        <f t="shared" si="0"/>
        <v>34.25</v>
      </c>
    </row>
    <row r="8" spans="1:7" x14ac:dyDescent="0.4">
      <c r="A8" t="s">
        <v>88</v>
      </c>
      <c r="B8" t="s">
        <v>584</v>
      </c>
      <c r="C8" t="s">
        <v>585</v>
      </c>
      <c r="D8" t="str">
        <f>+Tabelle_1[[#This Row],[Column1]]</f>
        <v>Diamonphosphat, 18% N + 46 % P2O5</v>
      </c>
      <c r="E8" s="392">
        <f>+VALUE(LEFT(Tabelle_1[[#This Row],[Column3]],4))</f>
        <v>66</v>
      </c>
      <c r="F8" s="392">
        <f>VALUE(RIGHT(Tabelle_1[[#This Row],[Column3]],5))</f>
        <v>72.2</v>
      </c>
      <c r="G8" s="391">
        <f t="shared" si="0"/>
        <v>69.099999999999994</v>
      </c>
    </row>
    <row r="9" spans="1:7" x14ac:dyDescent="0.4">
      <c r="A9" t="s">
        <v>89</v>
      </c>
      <c r="B9" t="s">
        <v>570</v>
      </c>
      <c r="C9" t="s">
        <v>571</v>
      </c>
      <c r="D9" t="str">
        <f>+Tabelle_1[[#This Row],[Column1]]</f>
        <v>Triple-Phosphat, 46 % P2O5</v>
      </c>
      <c r="E9" s="392">
        <f>+VALUE(LEFT(Tabelle_1[[#This Row],[Column3]],4))</f>
        <v>54.5</v>
      </c>
      <c r="F9" s="392">
        <f>VALUE(RIGHT(Tabelle_1[[#This Row],[Column3]],5))</f>
        <v>58.5</v>
      </c>
      <c r="G9" s="391">
        <f t="shared" si="0"/>
        <v>56.5</v>
      </c>
    </row>
    <row r="10" spans="1:7" x14ac:dyDescent="0.4">
      <c r="A10" t="s">
        <v>90</v>
      </c>
      <c r="B10" t="s">
        <v>572</v>
      </c>
      <c r="C10" t="s">
        <v>573</v>
      </c>
      <c r="D10" t="str">
        <f>+Tabelle_1[[#This Row],[Column1]]</f>
        <v>40er Kornkali + Mg 40 % K2O+6%MgO</v>
      </c>
      <c r="E10" s="392">
        <f>+VALUE(LEFT(Tabelle_1[[#This Row],[Column3]],4))</f>
        <v>29.5</v>
      </c>
      <c r="F10" s="392">
        <f>VALUE(RIGHT(Tabelle_1[[#This Row],[Column3]],5))</f>
        <v>33.299999999999997</v>
      </c>
      <c r="G10" s="391">
        <f t="shared" si="0"/>
        <v>31.4</v>
      </c>
    </row>
    <row r="11" spans="1:7" x14ac:dyDescent="0.4">
      <c r="A11" t="s">
        <v>91</v>
      </c>
      <c r="B11" t="s">
        <v>586</v>
      </c>
      <c r="C11" t="s">
        <v>587</v>
      </c>
      <c r="D11" t="str">
        <f>+Tabelle_1[[#This Row],[Column1]]</f>
        <v>Magnesia-Kainit 11 % K2O+5%MgO</v>
      </c>
      <c r="E11" s="392">
        <f>+VALUE(LEFT(Tabelle_1[[#This Row],[Column3]],4))</f>
        <v>15</v>
      </c>
      <c r="F11" s="392">
        <f>VALUE(RIGHT(Tabelle_1[[#This Row],[Column3]],5))</f>
        <v>17.5</v>
      </c>
      <c r="G11" s="391">
        <f t="shared" si="0"/>
        <v>16.25</v>
      </c>
    </row>
    <row r="12" spans="1:7" x14ac:dyDescent="0.4">
      <c r="A12" t="s">
        <v>92</v>
      </c>
      <c r="B12" t="s">
        <v>588</v>
      </c>
      <c r="C12" t="s">
        <v>589</v>
      </c>
      <c r="D12" t="str">
        <f>+Tabelle_1[[#This Row],[Column1]]</f>
        <v>Kalimagnesia 30 % K2O+ 10%MgO/Patentkali</v>
      </c>
      <c r="E12" s="392">
        <f>+VALUE(LEFT(Tabelle_1[[#This Row],[Column3]],4))</f>
        <v>45.5</v>
      </c>
      <c r="F12" s="392">
        <f>VALUE(RIGHT(Tabelle_1[[#This Row],[Column3]],5))</f>
        <v>50</v>
      </c>
      <c r="G12" s="391">
        <f t="shared" si="0"/>
        <v>47.75</v>
      </c>
    </row>
    <row r="13" spans="1:7" x14ac:dyDescent="0.4">
      <c r="A13" t="s">
        <v>93</v>
      </c>
      <c r="B13" t="s">
        <v>590</v>
      </c>
      <c r="C13" t="s">
        <v>591</v>
      </c>
      <c r="D13" t="str">
        <f>+Tabelle_1[[#This Row],[Column1]]</f>
        <v>Schwefelsaures Amoniak 21% N + 24% S,</v>
      </c>
      <c r="E13" s="392">
        <f>+VALUE(LEFT(Tabelle_1[[#This Row],[Column3]],4))</f>
        <v>32.5</v>
      </c>
      <c r="F13" s="392">
        <f>VALUE(RIGHT(Tabelle_1[[#This Row],[Column3]],5))</f>
        <v>35.5</v>
      </c>
      <c r="G13" s="391">
        <f t="shared" si="0"/>
        <v>34</v>
      </c>
    </row>
    <row r="14" spans="1:7" x14ac:dyDescent="0.4">
      <c r="A14" t="s">
        <v>94</v>
      </c>
      <c r="B14" t="s">
        <v>592</v>
      </c>
      <c r="C14" t="s">
        <v>593</v>
      </c>
      <c r="D14" t="str">
        <f>+Tabelle_1[[#This Row],[Column1]]</f>
        <v>Piamon</v>
      </c>
      <c r="E14" s="392">
        <f>+VALUE(LEFT(Tabelle_1[[#This Row],[Column3]],4))</f>
        <v>39.5</v>
      </c>
      <c r="F14" s="392">
        <f>VALUE(RIGHT(Tabelle_1[[#This Row],[Column3]],5))</f>
        <v>50</v>
      </c>
      <c r="G14" s="391">
        <f t="shared" si="0"/>
        <v>44.75</v>
      </c>
    </row>
    <row r="15" spans="1:7" x14ac:dyDescent="0.4">
      <c r="A15" t="s">
        <v>95</v>
      </c>
      <c r="B15" t="s">
        <v>594</v>
      </c>
      <c r="C15" t="s">
        <v>595</v>
      </c>
      <c r="D15" t="str">
        <f>+Tabelle_1[[#This Row],[Column1]]</f>
        <v>Ammonsulfatsalpeter 26% N + 13 %S</v>
      </c>
      <c r="E15" s="392">
        <f>+VALUE(LEFT(Tabelle_1[[#This Row],[Column3]],4))</f>
        <v>40.5</v>
      </c>
      <c r="F15" s="392">
        <f>VALUE(RIGHT(Tabelle_1[[#This Row],[Column3]],5))</f>
        <v>43</v>
      </c>
      <c r="G15" s="391">
        <f t="shared" si="0"/>
        <v>41.75</v>
      </c>
    </row>
    <row r="16" spans="1:7" x14ac:dyDescent="0.4">
      <c r="A16" t="s">
        <v>96</v>
      </c>
      <c r="B16" t="s">
        <v>596</v>
      </c>
      <c r="C16" t="s">
        <v>597</v>
      </c>
      <c r="D16" t="str">
        <f>+Tabelle_1[[#This Row],[Column1]]</f>
        <v>Kohlensauer Kalk, 80 % CaCO3 + 5 MgCO3</v>
      </c>
      <c r="E16" s="392">
        <f>+VALUE(LEFT(Tabelle_1[[#This Row],[Column3]],4))</f>
        <v>5.0999999999999996</v>
      </c>
      <c r="F16" s="392">
        <f>VALUE(RIGHT(Tabelle_1[[#This Row],[Column3]],5))</f>
        <v>6.75</v>
      </c>
      <c r="G16" s="391">
        <f t="shared" si="0"/>
        <v>5.9249999999999998</v>
      </c>
    </row>
    <row r="17" spans="1:7" x14ac:dyDescent="0.4">
      <c r="A17" t="s">
        <v>97</v>
      </c>
      <c r="B17" t="s">
        <v>98</v>
      </c>
      <c r="C17" t="s">
        <v>574</v>
      </c>
      <c r="D17" t="str">
        <f>+Tabelle_1[[#This Row],[Column1]]</f>
        <v>Alzon</v>
      </c>
      <c r="E17" s="392" t="e">
        <f>+VALUE(LEFT(Tabelle_1[[#This Row],[Column3]],4))</f>
        <v>#VALUE!</v>
      </c>
      <c r="F17" s="392" t="e">
        <f>VALUE(RIGHT(Tabelle_1[[#This Row],[Column3]],5))</f>
        <v>#VALUE!</v>
      </c>
      <c r="G17" s="391" t="e">
        <f t="shared" si="0"/>
        <v>#VALUE!</v>
      </c>
    </row>
    <row r="18" spans="1:7" x14ac:dyDescent="0.4">
      <c r="A18" t="s">
        <v>99</v>
      </c>
      <c r="B18" t="s">
        <v>575</v>
      </c>
      <c r="C18" t="s">
        <v>576</v>
      </c>
      <c r="D18" t="str">
        <f>+Tabelle_1[[#This Row],[Column1]]</f>
        <v>Sulfan 24%N + 6%S</v>
      </c>
      <c r="E18" s="392">
        <f>+VALUE(LEFT(Tabelle_1[[#This Row],[Column3]],4))</f>
        <v>36</v>
      </c>
      <c r="F18" s="392">
        <f>VALUE(RIGHT(Tabelle_1[[#This Row],[Column3]],5))</f>
        <v>40</v>
      </c>
      <c r="G18" s="391">
        <f t="shared" si="0"/>
        <v>38</v>
      </c>
    </row>
    <row r="19" spans="1:7" x14ac:dyDescent="0.4">
      <c r="A19" t="s">
        <v>100</v>
      </c>
      <c r="B19" t="s">
        <v>98</v>
      </c>
      <c r="C19" t="s">
        <v>522</v>
      </c>
      <c r="D19" t="str">
        <f>+Tabelle_1[[#This Row],[Column1]]</f>
        <v>YaraMila Mais (19% N, 17% P2O5 , 6S)</v>
      </c>
      <c r="E19" s="392">
        <f>+VALUE(LEFT(Tabelle_1[[#This Row],[Column3]],4))</f>
        <v>-1</v>
      </c>
      <c r="F19" s="392">
        <f>VALUE(RIGHT(Tabelle_1[[#This Row],[Column3]],5))</f>
        <v>-1</v>
      </c>
      <c r="G19" s="391">
        <f t="shared" si="0"/>
        <v>0</v>
      </c>
    </row>
    <row r="20" spans="1:7" x14ac:dyDescent="0.4">
      <c r="A20" t="s">
        <v>101</v>
      </c>
      <c r="B20" t="s">
        <v>577</v>
      </c>
      <c r="C20" t="s">
        <v>568</v>
      </c>
      <c r="D20" t="str">
        <f>+Tabelle_1[[#This Row],[Column1]]</f>
        <v>Maisdünger NP 20/20</v>
      </c>
      <c r="E20" s="392">
        <f>+VALUE(LEFT(Tabelle_1[[#This Row],[Column3]],4))</f>
        <v>47.5</v>
      </c>
      <c r="F20" s="392">
        <f>VALUE(RIGHT(Tabelle_1[[#This Row],[Column3]],5))</f>
        <v>53</v>
      </c>
      <c r="G20" s="391">
        <f t="shared" si="0"/>
        <v>50.25</v>
      </c>
    </row>
    <row r="21" spans="1:7" x14ac:dyDescent="0.4">
      <c r="A21" s="390" t="s">
        <v>102</v>
      </c>
      <c r="B21" t="s">
        <v>598</v>
      </c>
      <c r="C21" t="s">
        <v>599</v>
      </c>
      <c r="D21" t="str">
        <f>+Tabelle_1[[#This Row],[Column1]]</f>
        <v>Kieserit, 25/20</v>
      </c>
      <c r="E21" s="392">
        <f>+VALUE(LEFT(Tabelle_1[[#This Row],[Column3]],4))</f>
        <v>30</v>
      </c>
      <c r="F21" s="392">
        <f>VALUE(RIGHT(Tabelle_1[[#This Row],[Column3]],5))</f>
        <v>33</v>
      </c>
      <c r="G21" s="391">
        <f t="shared" si="0"/>
        <v>31.5</v>
      </c>
    </row>
    <row r="22" spans="1:7" x14ac:dyDescent="0.4">
      <c r="A22" t="s">
        <v>103</v>
      </c>
      <c r="B22" t="s">
        <v>600</v>
      </c>
      <c r="C22" t="s">
        <v>601</v>
      </c>
      <c r="D22" t="str">
        <f>+Tabelle_1[[#This Row],[Column1]]</f>
        <v>Volldünger, 15/5/15</v>
      </c>
      <c r="E22" s="392">
        <f>+VALUE(LEFT(Tabelle_1[[#This Row],[Column3]],4))</f>
        <v>49.5</v>
      </c>
      <c r="F22" s="392">
        <f>VALUE(RIGHT(Tabelle_1[[#This Row],[Column3]],5))</f>
        <v>52.5</v>
      </c>
      <c r="G22" s="391">
        <f t="shared" si="0"/>
        <v>51</v>
      </c>
    </row>
  </sheetData>
  <phoneticPr fontId="15" type="noConversion"/>
  <pageMargins left="0.7" right="0.7" top="0.78740157499999996" bottom="0.78740157499999996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744"/>
  <sheetViews>
    <sheetView topLeftCell="A39" workbookViewId="0">
      <selection activeCell="E3" sqref="E3"/>
    </sheetView>
  </sheetViews>
  <sheetFormatPr baseColWidth="10" defaultColWidth="11.5" defaultRowHeight="12.3" x14ac:dyDescent="0.4"/>
  <cols>
    <col min="1" max="1" width="5" style="152" customWidth="1"/>
    <col min="2" max="2" width="28.83203125" style="152" customWidth="1"/>
    <col min="3" max="8" width="9.5" style="153" customWidth="1"/>
    <col min="9" max="10" width="14.5" style="153" customWidth="1"/>
    <col min="11" max="16384" width="11.5" style="152"/>
  </cols>
  <sheetData>
    <row r="1" spans="1:12" ht="17.5" customHeight="1" x14ac:dyDescent="0.45">
      <c r="A1" s="298" t="s">
        <v>104</v>
      </c>
      <c r="I1" s="309"/>
      <c r="J1" s="351">
        <f ca="1">NOW()</f>
        <v>45772.509750462959</v>
      </c>
    </row>
    <row r="2" spans="1:12" s="292" customFormat="1" ht="30" customHeight="1" x14ac:dyDescent="0.65">
      <c r="A2" s="324" t="s">
        <v>15</v>
      </c>
      <c r="B2" s="322" t="s">
        <v>81</v>
      </c>
      <c r="C2" s="323" t="s">
        <v>22</v>
      </c>
      <c r="D2" s="323" t="s">
        <v>105</v>
      </c>
      <c r="E2" s="323" t="s">
        <v>106</v>
      </c>
      <c r="F2" s="323" t="s">
        <v>23</v>
      </c>
      <c r="G2" s="323" t="s">
        <v>24</v>
      </c>
      <c r="H2" s="323" t="s">
        <v>107</v>
      </c>
      <c r="I2" s="323" t="s">
        <v>108</v>
      </c>
      <c r="J2" s="323" t="s">
        <v>109</v>
      </c>
    </row>
    <row r="3" spans="1:12" ht="16.5" customHeight="1" x14ac:dyDescent="0.45">
      <c r="A3" s="374">
        <v>1</v>
      </c>
      <c r="B3" s="164" t="s">
        <v>85</v>
      </c>
      <c r="C3" s="159">
        <v>27</v>
      </c>
      <c r="D3" s="159"/>
      <c r="E3" s="159"/>
      <c r="F3" s="159"/>
      <c r="G3" s="159"/>
      <c r="H3" s="159">
        <v>-13</v>
      </c>
      <c r="I3" s="160"/>
      <c r="J3" s="364">
        <v>24.7</v>
      </c>
      <c r="K3" s="371"/>
    </row>
    <row r="4" spans="1:12" ht="16.5" customHeight="1" x14ac:dyDescent="0.45">
      <c r="A4" s="158">
        <f>A3+1</f>
        <v>2</v>
      </c>
      <c r="B4" s="164" t="s">
        <v>99</v>
      </c>
      <c r="C4" s="159">
        <v>24</v>
      </c>
      <c r="D4" s="159"/>
      <c r="E4" s="159"/>
      <c r="F4" s="159"/>
      <c r="G4" s="159">
        <v>6</v>
      </c>
      <c r="H4" s="159">
        <v>-15</v>
      </c>
      <c r="I4" s="160"/>
      <c r="J4" s="160"/>
    </row>
    <row r="5" spans="1:12" ht="16.5" customHeight="1" x14ac:dyDescent="0.45">
      <c r="A5" s="374">
        <f t="shared" ref="A5:A20" si="0">A4+1</f>
        <v>3</v>
      </c>
      <c r="B5" s="296" t="s">
        <v>86</v>
      </c>
      <c r="C5" s="159">
        <v>46</v>
      </c>
      <c r="D5" s="159"/>
      <c r="E5" s="159"/>
      <c r="F5" s="159"/>
      <c r="G5" s="159"/>
      <c r="H5" s="159">
        <v>-46</v>
      </c>
      <c r="I5" s="160"/>
      <c r="J5" s="364">
        <v>32.5</v>
      </c>
    </row>
    <row r="6" spans="1:12" ht="16.5" customHeight="1" x14ac:dyDescent="0.45">
      <c r="A6" s="374">
        <f t="shared" si="0"/>
        <v>4</v>
      </c>
      <c r="B6" s="297" t="s">
        <v>110</v>
      </c>
      <c r="C6" s="159">
        <v>46</v>
      </c>
      <c r="D6" s="159"/>
      <c r="E6" s="159"/>
      <c r="F6" s="159"/>
      <c r="G6" s="159"/>
      <c r="H6" s="159">
        <v>-46</v>
      </c>
      <c r="I6" s="160"/>
      <c r="J6" s="372">
        <v>31.8</v>
      </c>
      <c r="L6" s="369"/>
    </row>
    <row r="7" spans="1:12" ht="16.5" customHeight="1" x14ac:dyDescent="0.45">
      <c r="A7" s="374">
        <f t="shared" si="0"/>
        <v>5</v>
      </c>
      <c r="B7" s="296" t="s">
        <v>87</v>
      </c>
      <c r="C7" s="159">
        <v>28</v>
      </c>
      <c r="D7" s="159"/>
      <c r="E7" s="159"/>
      <c r="F7" s="159"/>
      <c r="G7" s="159"/>
      <c r="H7" s="159">
        <v>-28</v>
      </c>
      <c r="I7" s="160"/>
      <c r="J7" s="364">
        <v>26.2</v>
      </c>
    </row>
    <row r="8" spans="1:12" ht="16.5" customHeight="1" x14ac:dyDescent="0.45">
      <c r="A8" s="158">
        <f t="shared" si="0"/>
        <v>6</v>
      </c>
      <c r="B8" s="164" t="s">
        <v>111</v>
      </c>
      <c r="C8" s="159">
        <v>28</v>
      </c>
      <c r="D8" s="159"/>
      <c r="E8" s="159"/>
      <c r="F8" s="159"/>
      <c r="G8" s="159"/>
      <c r="H8" s="159">
        <v>-28</v>
      </c>
      <c r="I8" s="160"/>
      <c r="J8" s="160"/>
    </row>
    <row r="9" spans="1:12" ht="16.5" customHeight="1" x14ac:dyDescent="0.45">
      <c r="A9" s="158">
        <f t="shared" si="0"/>
        <v>7</v>
      </c>
      <c r="B9" s="164" t="s">
        <v>112</v>
      </c>
      <c r="C9" s="159">
        <v>28</v>
      </c>
      <c r="D9" s="159"/>
      <c r="E9" s="159"/>
      <c r="F9" s="159"/>
      <c r="G9" s="159">
        <v>5</v>
      </c>
      <c r="H9" s="159">
        <v>-30</v>
      </c>
      <c r="I9" s="160"/>
      <c r="J9" s="160"/>
    </row>
    <row r="10" spans="1:12" ht="16.5" customHeight="1" x14ac:dyDescent="0.45">
      <c r="A10" s="374">
        <f t="shared" si="0"/>
        <v>8</v>
      </c>
      <c r="B10" s="164" t="s">
        <v>95</v>
      </c>
      <c r="C10" s="159">
        <v>26</v>
      </c>
      <c r="D10" s="159"/>
      <c r="E10" s="159"/>
      <c r="F10" s="159"/>
      <c r="G10" s="159">
        <v>14</v>
      </c>
      <c r="H10" s="159">
        <v>-51</v>
      </c>
      <c r="I10" s="160"/>
      <c r="J10" s="364">
        <v>28.6</v>
      </c>
    </row>
    <row r="11" spans="1:12" ht="16.5" customHeight="1" x14ac:dyDescent="0.45">
      <c r="A11" s="374">
        <f t="shared" si="0"/>
        <v>9</v>
      </c>
      <c r="B11" s="164" t="s">
        <v>93</v>
      </c>
      <c r="C11" s="159">
        <v>21</v>
      </c>
      <c r="D11" s="159"/>
      <c r="E11" s="159"/>
      <c r="F11" s="159"/>
      <c r="G11" s="159">
        <v>24</v>
      </c>
      <c r="H11" s="159">
        <v>-63</v>
      </c>
      <c r="I11" s="160"/>
      <c r="J11" s="364">
        <v>26.99</v>
      </c>
    </row>
    <row r="12" spans="1:12" ht="16.5" customHeight="1" x14ac:dyDescent="0.45">
      <c r="A12" s="158">
        <f t="shared" si="0"/>
        <v>10</v>
      </c>
      <c r="B12" s="164" t="s">
        <v>113</v>
      </c>
      <c r="C12" s="159">
        <v>15.5</v>
      </c>
      <c r="D12" s="159"/>
      <c r="E12" s="159"/>
      <c r="F12" s="159"/>
      <c r="G12" s="293"/>
      <c r="H12" s="159">
        <v>13</v>
      </c>
      <c r="I12" s="312"/>
      <c r="J12" s="160"/>
    </row>
    <row r="13" spans="1:12" ht="16.5" customHeight="1" x14ac:dyDescent="0.45">
      <c r="A13" s="158">
        <f t="shared" si="0"/>
        <v>11</v>
      </c>
      <c r="B13" s="164" t="s">
        <v>114</v>
      </c>
      <c r="C13" s="159">
        <v>22</v>
      </c>
      <c r="D13" s="159"/>
      <c r="E13" s="159"/>
      <c r="F13" s="159">
        <v>7</v>
      </c>
      <c r="G13" s="159"/>
      <c r="H13" s="159">
        <v>-25</v>
      </c>
      <c r="I13" s="160"/>
      <c r="J13" s="160"/>
    </row>
    <row r="14" spans="1:12" ht="16.5" customHeight="1" x14ac:dyDescent="0.45">
      <c r="A14" s="158">
        <f t="shared" si="0"/>
        <v>12</v>
      </c>
      <c r="B14" s="296" t="s">
        <v>115</v>
      </c>
      <c r="C14" s="159">
        <v>12</v>
      </c>
      <c r="D14" s="159"/>
      <c r="E14" s="159"/>
      <c r="F14" s="159"/>
      <c r="G14" s="159">
        <v>26</v>
      </c>
      <c r="H14" s="159">
        <v>-12</v>
      </c>
      <c r="I14" s="160"/>
      <c r="J14" s="160"/>
    </row>
    <row r="15" spans="1:12" ht="16.5" customHeight="1" x14ac:dyDescent="0.45">
      <c r="A15" s="158">
        <f t="shared" si="0"/>
        <v>13</v>
      </c>
      <c r="B15" s="164" t="s">
        <v>116</v>
      </c>
      <c r="C15" s="159">
        <v>20.5</v>
      </c>
      <c r="D15" s="159"/>
      <c r="E15" s="159"/>
      <c r="F15" s="159"/>
      <c r="G15" s="159"/>
      <c r="H15" s="159">
        <v>39</v>
      </c>
      <c r="I15" s="160"/>
      <c r="J15" s="160"/>
    </row>
    <row r="16" spans="1:12" ht="16.5" customHeight="1" thickBot="1" x14ac:dyDescent="0.5">
      <c r="A16" s="158">
        <f t="shared" si="0"/>
        <v>14</v>
      </c>
      <c r="B16" s="294" t="s">
        <v>117</v>
      </c>
      <c r="C16" s="295">
        <v>19.8</v>
      </c>
      <c r="D16" s="295"/>
      <c r="E16" s="295"/>
      <c r="F16" s="295"/>
      <c r="G16" s="295"/>
      <c r="H16" s="295">
        <v>35</v>
      </c>
      <c r="I16" s="313"/>
      <c r="J16" s="313"/>
    </row>
    <row r="17" spans="1:10" ht="16.5" customHeight="1" thickTop="1" x14ac:dyDescent="0.45">
      <c r="A17" s="374">
        <f t="shared" si="0"/>
        <v>15</v>
      </c>
      <c r="B17" s="164" t="s">
        <v>88</v>
      </c>
      <c r="C17" s="159">
        <v>18</v>
      </c>
      <c r="D17" s="159">
        <v>46</v>
      </c>
      <c r="E17" s="159"/>
      <c r="F17" s="159"/>
      <c r="G17" s="159"/>
      <c r="H17" s="159">
        <v>-38</v>
      </c>
      <c r="I17" s="160"/>
      <c r="J17" s="364">
        <v>42</v>
      </c>
    </row>
    <row r="18" spans="1:10" ht="16.5" customHeight="1" x14ac:dyDescent="0.45">
      <c r="A18" s="374">
        <f t="shared" si="0"/>
        <v>16</v>
      </c>
      <c r="B18" s="164" t="s">
        <v>118</v>
      </c>
      <c r="C18" s="159">
        <v>12</v>
      </c>
      <c r="D18" s="159">
        <v>52</v>
      </c>
      <c r="E18" s="159"/>
      <c r="F18" s="159"/>
      <c r="G18" s="159"/>
      <c r="H18" s="159">
        <v>-37</v>
      </c>
      <c r="I18" s="160"/>
      <c r="J18" s="372">
        <v>36.5</v>
      </c>
    </row>
    <row r="19" spans="1:10" ht="16.5" customHeight="1" x14ac:dyDescent="0.45">
      <c r="A19" s="158">
        <f t="shared" si="0"/>
        <v>17</v>
      </c>
      <c r="B19" s="296" t="s">
        <v>119</v>
      </c>
      <c r="C19" s="159">
        <v>10</v>
      </c>
      <c r="D19" s="159">
        <v>34</v>
      </c>
      <c r="E19" s="159"/>
      <c r="F19" s="159"/>
      <c r="G19" s="159"/>
      <c r="H19" s="159">
        <v>-25</v>
      </c>
      <c r="I19" s="160"/>
      <c r="J19" s="160"/>
    </row>
    <row r="20" spans="1:10" ht="16.5" customHeight="1" x14ac:dyDescent="0.45">
      <c r="A20" s="158">
        <f t="shared" si="0"/>
        <v>18</v>
      </c>
      <c r="B20" s="164" t="s">
        <v>120</v>
      </c>
      <c r="C20" s="159">
        <v>20</v>
      </c>
      <c r="D20" s="159">
        <v>20</v>
      </c>
      <c r="E20" s="159"/>
      <c r="F20" s="159"/>
      <c r="G20" s="159"/>
      <c r="H20" s="159">
        <v>-28</v>
      </c>
      <c r="I20" s="160"/>
      <c r="J20" s="160"/>
    </row>
    <row r="21" spans="1:10" ht="16.5" customHeight="1" x14ac:dyDescent="0.45">
      <c r="A21" s="158">
        <f t="shared" ref="A21:A36" si="1">A20+1</f>
        <v>19</v>
      </c>
      <c r="B21" s="164" t="s">
        <v>121</v>
      </c>
      <c r="C21" s="159">
        <v>26</v>
      </c>
      <c r="D21" s="159">
        <v>14</v>
      </c>
      <c r="E21" s="159"/>
      <c r="F21" s="159"/>
      <c r="G21" s="159"/>
      <c r="H21" s="159">
        <v>-31</v>
      </c>
      <c r="I21" s="160"/>
      <c r="J21" s="160"/>
    </row>
    <row r="22" spans="1:10" ht="16.5" customHeight="1" x14ac:dyDescent="0.45">
      <c r="A22" s="158">
        <f t="shared" si="1"/>
        <v>20</v>
      </c>
      <c r="B22" s="164" t="s">
        <v>122</v>
      </c>
      <c r="C22" s="159">
        <v>22</v>
      </c>
      <c r="D22" s="159">
        <v>22</v>
      </c>
      <c r="E22" s="159"/>
      <c r="F22" s="159"/>
      <c r="G22" s="159"/>
      <c r="H22" s="159">
        <v>-31</v>
      </c>
      <c r="I22" s="160"/>
      <c r="J22" s="160"/>
    </row>
    <row r="23" spans="1:10" ht="16.5" customHeight="1" x14ac:dyDescent="0.45">
      <c r="A23" s="158">
        <f t="shared" si="1"/>
        <v>21</v>
      </c>
      <c r="B23" s="164" t="s">
        <v>123</v>
      </c>
      <c r="C23" s="159">
        <v>24</v>
      </c>
      <c r="D23" s="159">
        <v>14</v>
      </c>
      <c r="E23" s="159"/>
      <c r="F23" s="159"/>
      <c r="G23" s="159"/>
      <c r="H23" s="159">
        <v>-30</v>
      </c>
      <c r="I23" s="160"/>
      <c r="J23" s="160"/>
    </row>
    <row r="24" spans="1:10" ht="16.5" customHeight="1" thickBot="1" x14ac:dyDescent="0.5">
      <c r="A24" s="158">
        <f t="shared" si="1"/>
        <v>22</v>
      </c>
      <c r="B24" s="294" t="s">
        <v>124</v>
      </c>
      <c r="C24" s="295">
        <v>26</v>
      </c>
      <c r="D24" s="295">
        <v>7</v>
      </c>
      <c r="E24" s="295"/>
      <c r="F24" s="295"/>
      <c r="G24" s="295"/>
      <c r="H24" s="295">
        <v>-29</v>
      </c>
      <c r="I24" s="313"/>
      <c r="J24" s="313"/>
    </row>
    <row r="25" spans="1:10" ht="16.5" customHeight="1" thickTop="1" x14ac:dyDescent="0.45">
      <c r="A25" s="158">
        <f t="shared" si="1"/>
        <v>23</v>
      </c>
      <c r="B25" s="164" t="s">
        <v>125</v>
      </c>
      <c r="C25" s="159">
        <v>24</v>
      </c>
      <c r="D25" s="159">
        <v>8</v>
      </c>
      <c r="E25" s="159">
        <v>8</v>
      </c>
      <c r="F25" s="159"/>
      <c r="G25" s="159"/>
      <c r="H25" s="159">
        <v>-23</v>
      </c>
      <c r="I25" s="160"/>
      <c r="J25" s="160"/>
    </row>
    <row r="26" spans="1:10" ht="16.5" customHeight="1" x14ac:dyDescent="0.45">
      <c r="A26" s="158">
        <f t="shared" si="1"/>
        <v>24</v>
      </c>
      <c r="B26" s="164" t="s">
        <v>126</v>
      </c>
      <c r="C26" s="159">
        <v>21</v>
      </c>
      <c r="D26" s="159">
        <v>8</v>
      </c>
      <c r="E26" s="159">
        <v>11</v>
      </c>
      <c r="F26" s="159"/>
      <c r="G26" s="159"/>
      <c r="H26" s="159">
        <v>-18</v>
      </c>
      <c r="I26" s="160"/>
      <c r="J26" s="160"/>
    </row>
    <row r="27" spans="1:10" ht="16.5" customHeight="1" x14ac:dyDescent="0.45">
      <c r="A27" s="158">
        <f t="shared" si="1"/>
        <v>25</v>
      </c>
      <c r="B27" s="164" t="s">
        <v>127</v>
      </c>
      <c r="C27" s="159">
        <v>20</v>
      </c>
      <c r="D27" s="159">
        <v>10</v>
      </c>
      <c r="E27" s="159">
        <v>10</v>
      </c>
      <c r="F27" s="159"/>
      <c r="G27" s="159"/>
      <c r="H27" s="159">
        <v>-18</v>
      </c>
      <c r="I27" s="160"/>
      <c r="J27" s="160"/>
    </row>
    <row r="28" spans="1:10" ht="16.5" customHeight="1" x14ac:dyDescent="0.45">
      <c r="A28" s="158">
        <f t="shared" si="1"/>
        <v>26</v>
      </c>
      <c r="B28" s="164" t="s">
        <v>128</v>
      </c>
      <c r="C28" s="159">
        <v>14</v>
      </c>
      <c r="D28" s="159">
        <v>10</v>
      </c>
      <c r="E28" s="159">
        <v>20</v>
      </c>
      <c r="F28" s="159"/>
      <c r="G28" s="159">
        <v>4</v>
      </c>
      <c r="H28" s="159">
        <v>-9</v>
      </c>
      <c r="I28" s="160"/>
      <c r="J28" s="160"/>
    </row>
    <row r="29" spans="1:10" ht="16.5" customHeight="1" x14ac:dyDescent="0.45">
      <c r="A29" s="374">
        <f t="shared" si="1"/>
        <v>27</v>
      </c>
      <c r="B29" s="164" t="s">
        <v>129</v>
      </c>
      <c r="C29" s="159">
        <v>13</v>
      </c>
      <c r="D29" s="159">
        <v>9</v>
      </c>
      <c r="E29" s="159">
        <v>16</v>
      </c>
      <c r="F29" s="159">
        <v>4</v>
      </c>
      <c r="G29" s="159">
        <v>8</v>
      </c>
      <c r="H29" s="159">
        <v>-7</v>
      </c>
      <c r="I29" s="160"/>
      <c r="J29" s="364">
        <v>35.71</v>
      </c>
    </row>
    <row r="30" spans="1:10" ht="16.5" customHeight="1" x14ac:dyDescent="0.45">
      <c r="A30" s="158">
        <f t="shared" si="1"/>
        <v>28</v>
      </c>
      <c r="B30" s="164" t="s">
        <v>130</v>
      </c>
      <c r="C30" s="159">
        <v>6</v>
      </c>
      <c r="D30" s="159">
        <v>12</v>
      </c>
      <c r="E30" s="159">
        <v>18</v>
      </c>
      <c r="F30" s="159"/>
      <c r="G30" s="159">
        <v>7</v>
      </c>
      <c r="H30" s="159">
        <v>-2</v>
      </c>
      <c r="I30" s="160"/>
      <c r="J30" s="160"/>
    </row>
    <row r="31" spans="1:10" ht="16.5" customHeight="1" x14ac:dyDescent="0.45">
      <c r="A31" s="158">
        <f t="shared" si="1"/>
        <v>29</v>
      </c>
      <c r="B31" s="164" t="s">
        <v>131</v>
      </c>
      <c r="C31" s="159">
        <v>10</v>
      </c>
      <c r="D31" s="159">
        <v>15</v>
      </c>
      <c r="E31" s="159">
        <v>20</v>
      </c>
      <c r="F31" s="159"/>
      <c r="G31" s="159"/>
      <c r="H31" s="159">
        <v>-9</v>
      </c>
      <c r="I31" s="160"/>
      <c r="J31" s="160"/>
    </row>
    <row r="32" spans="1:10" ht="16.5" customHeight="1" x14ac:dyDescent="0.45">
      <c r="A32" s="158">
        <f t="shared" si="1"/>
        <v>30</v>
      </c>
      <c r="B32" s="164" t="s">
        <v>132</v>
      </c>
      <c r="C32" s="159">
        <v>12</v>
      </c>
      <c r="D32" s="159">
        <v>12</v>
      </c>
      <c r="E32" s="159">
        <v>17</v>
      </c>
      <c r="F32" s="159">
        <v>2</v>
      </c>
      <c r="G32" s="159"/>
      <c r="H32" s="159">
        <v>-12</v>
      </c>
      <c r="I32" s="160"/>
      <c r="J32" s="160">
        <v>45.95</v>
      </c>
    </row>
    <row r="33" spans="1:10" ht="16.5" customHeight="1" x14ac:dyDescent="0.45">
      <c r="A33" s="158">
        <f t="shared" si="1"/>
        <v>31</v>
      </c>
      <c r="B33" s="164" t="s">
        <v>133</v>
      </c>
      <c r="C33" s="159">
        <v>13</v>
      </c>
      <c r="D33" s="159">
        <v>13</v>
      </c>
      <c r="E33" s="159">
        <v>21</v>
      </c>
      <c r="F33" s="159"/>
      <c r="G33" s="159">
        <v>2</v>
      </c>
      <c r="H33" s="159">
        <v>-13</v>
      </c>
      <c r="I33" s="160"/>
      <c r="J33" s="364">
        <v>36.46</v>
      </c>
    </row>
    <row r="34" spans="1:10" ht="16.5" customHeight="1" x14ac:dyDescent="0.45">
      <c r="A34" s="158">
        <f t="shared" si="1"/>
        <v>32</v>
      </c>
      <c r="B34" s="164" t="s">
        <v>134</v>
      </c>
      <c r="C34" s="159">
        <v>14</v>
      </c>
      <c r="D34" s="159">
        <v>10</v>
      </c>
      <c r="E34" s="159">
        <v>20</v>
      </c>
      <c r="F34" s="159"/>
      <c r="G34" s="159"/>
      <c r="H34" s="159">
        <v>-15</v>
      </c>
      <c r="I34" s="160"/>
      <c r="J34" s="160">
        <v>42</v>
      </c>
    </row>
    <row r="35" spans="1:10" ht="16.5" customHeight="1" x14ac:dyDescent="0.45">
      <c r="A35" s="158">
        <f t="shared" si="1"/>
        <v>33</v>
      </c>
      <c r="B35" s="164" t="s">
        <v>135</v>
      </c>
      <c r="C35" s="159">
        <v>16</v>
      </c>
      <c r="D35" s="159">
        <v>16</v>
      </c>
      <c r="E35" s="159">
        <v>16</v>
      </c>
      <c r="F35" s="159"/>
      <c r="G35" s="159"/>
      <c r="H35" s="159">
        <v>-16</v>
      </c>
      <c r="I35" s="160"/>
      <c r="J35" s="160"/>
    </row>
    <row r="36" spans="1:10" ht="16.5" customHeight="1" x14ac:dyDescent="0.45">
      <c r="A36" s="374">
        <f t="shared" si="1"/>
        <v>34</v>
      </c>
      <c r="B36" s="164" t="s">
        <v>136</v>
      </c>
      <c r="C36" s="159">
        <v>16</v>
      </c>
      <c r="D36" s="159">
        <v>9</v>
      </c>
      <c r="E36" s="159">
        <v>14</v>
      </c>
      <c r="F36" s="159">
        <v>3</v>
      </c>
      <c r="G36" s="159"/>
      <c r="H36" s="159">
        <v>-14</v>
      </c>
      <c r="I36" s="160"/>
      <c r="J36" s="372">
        <v>40.71</v>
      </c>
    </row>
    <row r="37" spans="1:10" ht="16.5" customHeight="1" x14ac:dyDescent="0.45">
      <c r="A37" s="374">
        <f t="shared" ref="A37:A43" si="2">A36+1</f>
        <v>35</v>
      </c>
      <c r="B37" s="164" t="s">
        <v>137</v>
      </c>
      <c r="C37" s="159">
        <v>15</v>
      </c>
      <c r="D37" s="159">
        <v>15</v>
      </c>
      <c r="E37" s="159">
        <v>15</v>
      </c>
      <c r="F37" s="159"/>
      <c r="G37" s="159">
        <v>6</v>
      </c>
      <c r="H37" s="159">
        <v>-14</v>
      </c>
      <c r="I37" s="160"/>
      <c r="J37" s="372">
        <v>45.55</v>
      </c>
    </row>
    <row r="38" spans="1:10" ht="16.5" customHeight="1" x14ac:dyDescent="0.45">
      <c r="A38" s="158">
        <f t="shared" si="2"/>
        <v>36</v>
      </c>
      <c r="B38" s="164" t="s">
        <v>138</v>
      </c>
      <c r="C38" s="159">
        <v>20</v>
      </c>
      <c r="D38" s="159">
        <v>8</v>
      </c>
      <c r="E38" s="159">
        <v>11</v>
      </c>
      <c r="F38" s="159">
        <v>2</v>
      </c>
      <c r="G38" s="159"/>
      <c r="H38" s="159">
        <v>-18</v>
      </c>
      <c r="I38" s="160"/>
      <c r="J38" s="160"/>
    </row>
    <row r="39" spans="1:10" ht="16.5" customHeight="1" x14ac:dyDescent="0.45">
      <c r="A39" s="158">
        <f t="shared" si="2"/>
        <v>37</v>
      </c>
      <c r="B39" s="164" t="s">
        <v>139</v>
      </c>
      <c r="C39" s="159">
        <v>15</v>
      </c>
      <c r="D39" s="159">
        <v>5</v>
      </c>
      <c r="E39" s="159">
        <v>20</v>
      </c>
      <c r="F39" s="159">
        <v>2</v>
      </c>
      <c r="G39" s="159"/>
      <c r="H39" s="159">
        <v>-13</v>
      </c>
      <c r="I39" s="160"/>
      <c r="J39" s="160"/>
    </row>
    <row r="40" spans="1:10" ht="16.5" customHeight="1" x14ac:dyDescent="0.45">
      <c r="A40" s="374">
        <f t="shared" si="2"/>
        <v>38</v>
      </c>
      <c r="B40" s="164" t="s">
        <v>140</v>
      </c>
      <c r="C40" s="159">
        <v>13</v>
      </c>
      <c r="D40" s="159">
        <v>9</v>
      </c>
      <c r="E40" s="159">
        <v>16</v>
      </c>
      <c r="F40" s="159">
        <v>4</v>
      </c>
      <c r="G40" s="159">
        <v>7</v>
      </c>
      <c r="H40" s="159">
        <v>-9</v>
      </c>
      <c r="I40" s="160"/>
      <c r="J40" s="372">
        <v>42.37</v>
      </c>
    </row>
    <row r="41" spans="1:10" ht="16.5" customHeight="1" x14ac:dyDescent="0.45">
      <c r="A41" s="158">
        <f t="shared" si="2"/>
        <v>39</v>
      </c>
      <c r="B41" s="164" t="s">
        <v>141</v>
      </c>
      <c r="C41" s="159">
        <v>20</v>
      </c>
      <c r="D41" s="159">
        <v>5</v>
      </c>
      <c r="E41" s="159">
        <v>8</v>
      </c>
      <c r="F41" s="159">
        <v>2</v>
      </c>
      <c r="G41" s="159"/>
      <c r="H41" s="159">
        <v>-19</v>
      </c>
      <c r="I41" s="160"/>
      <c r="J41" s="160"/>
    </row>
    <row r="42" spans="1:10" ht="16.5" customHeight="1" x14ac:dyDescent="0.45">
      <c r="A42" s="158">
        <f t="shared" si="2"/>
        <v>40</v>
      </c>
      <c r="B42" s="164" t="s">
        <v>142</v>
      </c>
      <c r="C42" s="159">
        <v>16</v>
      </c>
      <c r="D42" s="159">
        <v>9</v>
      </c>
      <c r="E42" s="159">
        <v>14</v>
      </c>
      <c r="F42" s="159">
        <v>3</v>
      </c>
      <c r="G42" s="159"/>
      <c r="H42" s="159">
        <v>-15</v>
      </c>
      <c r="I42" s="160"/>
      <c r="J42" s="160"/>
    </row>
    <row r="43" spans="1:10" ht="16.5" customHeight="1" x14ac:dyDescent="0.45">
      <c r="A43" s="158">
        <f t="shared" si="2"/>
        <v>41</v>
      </c>
      <c r="B43" s="164" t="s">
        <v>143</v>
      </c>
      <c r="C43" s="159">
        <v>20</v>
      </c>
      <c r="D43" s="159">
        <v>6</v>
      </c>
      <c r="E43" s="159">
        <v>11</v>
      </c>
      <c r="F43" s="159"/>
      <c r="G43" s="159"/>
      <c r="H43" s="159">
        <v>-16</v>
      </c>
      <c r="I43" s="160"/>
      <c r="J43" s="160"/>
    </row>
    <row r="44" spans="1:10" ht="16.5" customHeight="1" x14ac:dyDescent="0.45">
      <c r="A44" s="374">
        <f t="shared" ref="A44:A53" si="3">A43+1</f>
        <v>42</v>
      </c>
      <c r="B44" s="164" t="s">
        <v>144</v>
      </c>
      <c r="C44" s="159">
        <v>6.5</v>
      </c>
      <c r="D44" s="159">
        <v>16.5</v>
      </c>
      <c r="E44" s="159">
        <v>25.6</v>
      </c>
      <c r="F44" s="159">
        <v>3.8</v>
      </c>
      <c r="G44" s="159">
        <v>2.6</v>
      </c>
      <c r="H44" s="159">
        <v>-8</v>
      </c>
      <c r="I44" s="160"/>
      <c r="J44" s="372">
        <v>27.9</v>
      </c>
    </row>
    <row r="45" spans="1:10" ht="16.5" customHeight="1" thickBot="1" x14ac:dyDescent="0.5">
      <c r="A45" s="374">
        <f t="shared" si="3"/>
        <v>43</v>
      </c>
      <c r="B45" s="304" t="s">
        <v>145</v>
      </c>
      <c r="C45" s="295">
        <v>20</v>
      </c>
      <c r="D45" s="295">
        <v>8</v>
      </c>
      <c r="E45" s="295">
        <v>8</v>
      </c>
      <c r="F45" s="295">
        <v>3</v>
      </c>
      <c r="G45" s="295">
        <v>4</v>
      </c>
      <c r="H45" s="295">
        <v>-19</v>
      </c>
      <c r="I45" s="313"/>
      <c r="J45" s="373">
        <v>41.02</v>
      </c>
    </row>
    <row r="46" spans="1:10" ht="16.5" customHeight="1" thickTop="1" x14ac:dyDescent="0.45">
      <c r="A46" s="158">
        <f t="shared" si="3"/>
        <v>44</v>
      </c>
      <c r="B46" s="164" t="s">
        <v>146</v>
      </c>
      <c r="C46" s="159"/>
      <c r="D46" s="159">
        <v>18</v>
      </c>
      <c r="E46" s="159"/>
      <c r="F46" s="159"/>
      <c r="G46" s="159">
        <v>12</v>
      </c>
      <c r="H46" s="159">
        <v>-1</v>
      </c>
      <c r="I46" s="160"/>
      <c r="J46" s="160"/>
    </row>
    <row r="47" spans="1:10" ht="16.5" customHeight="1" x14ac:dyDescent="0.45">
      <c r="A47" s="374">
        <f t="shared" si="3"/>
        <v>45</v>
      </c>
      <c r="B47" s="164" t="s">
        <v>89</v>
      </c>
      <c r="C47" s="159"/>
      <c r="D47" s="159">
        <v>45</v>
      </c>
      <c r="E47" s="159"/>
      <c r="F47" s="159"/>
      <c r="G47" s="159"/>
      <c r="H47" s="159">
        <v>-3</v>
      </c>
      <c r="I47" s="160"/>
      <c r="J47" s="364">
        <v>38.6</v>
      </c>
    </row>
    <row r="48" spans="1:10" ht="16.5" customHeight="1" x14ac:dyDescent="0.45">
      <c r="A48" s="158">
        <f t="shared" si="3"/>
        <v>46</v>
      </c>
      <c r="B48" s="164" t="s">
        <v>147</v>
      </c>
      <c r="C48" s="159"/>
      <c r="D48" s="159">
        <v>15</v>
      </c>
      <c r="E48" s="159"/>
      <c r="F48" s="159">
        <v>2</v>
      </c>
      <c r="G48" s="159"/>
      <c r="H48" s="159">
        <v>45</v>
      </c>
      <c r="I48" s="160"/>
      <c r="J48" s="365"/>
    </row>
    <row r="49" spans="1:10" ht="16.5" customHeight="1" x14ac:dyDescent="0.45">
      <c r="A49" s="158">
        <f t="shared" si="3"/>
        <v>47</v>
      </c>
      <c r="B49" s="164" t="s">
        <v>148</v>
      </c>
      <c r="C49" s="159"/>
      <c r="D49" s="159">
        <v>23</v>
      </c>
      <c r="E49" s="159"/>
      <c r="F49" s="159"/>
      <c r="G49" s="159">
        <v>8</v>
      </c>
      <c r="H49" s="159">
        <v>13</v>
      </c>
      <c r="I49" s="160"/>
      <c r="J49" s="160"/>
    </row>
    <row r="50" spans="1:10" ht="16.5" customHeight="1" thickBot="1" x14ac:dyDescent="0.5">
      <c r="A50" s="158">
        <f t="shared" si="3"/>
        <v>48</v>
      </c>
      <c r="B50" s="294" t="s">
        <v>149</v>
      </c>
      <c r="C50" s="295"/>
      <c r="D50" s="295">
        <v>26</v>
      </c>
      <c r="E50" s="295"/>
      <c r="F50" s="295"/>
      <c r="G50" s="295"/>
      <c r="H50" s="295">
        <v>31</v>
      </c>
      <c r="I50" s="313"/>
      <c r="J50" s="313"/>
    </row>
    <row r="51" spans="1:10" ht="15.75" customHeight="1" thickTop="1" x14ac:dyDescent="0.45">
      <c r="A51" s="374">
        <f t="shared" si="3"/>
        <v>49</v>
      </c>
      <c r="B51" s="296" t="s">
        <v>90</v>
      </c>
      <c r="C51" s="159"/>
      <c r="D51" s="159"/>
      <c r="E51" s="159">
        <v>40</v>
      </c>
      <c r="F51" s="159">
        <v>6</v>
      </c>
      <c r="G51" s="159">
        <v>4</v>
      </c>
      <c r="H51" s="159">
        <v>0</v>
      </c>
      <c r="I51" s="160"/>
      <c r="J51" s="364">
        <v>23.54</v>
      </c>
    </row>
    <row r="52" spans="1:10" ht="15.75" customHeight="1" x14ac:dyDescent="0.45">
      <c r="A52" s="374">
        <f t="shared" si="3"/>
        <v>50</v>
      </c>
      <c r="B52" s="164" t="s">
        <v>150</v>
      </c>
      <c r="C52" s="159"/>
      <c r="D52" s="159"/>
      <c r="E52" s="159">
        <v>60</v>
      </c>
      <c r="F52" s="293"/>
      <c r="G52" s="159"/>
      <c r="H52" s="159">
        <v>0</v>
      </c>
      <c r="I52" s="160"/>
      <c r="J52" s="364">
        <v>28.92</v>
      </c>
    </row>
    <row r="53" spans="1:10" ht="15.75" customHeight="1" x14ac:dyDescent="0.45">
      <c r="A53" s="374">
        <f t="shared" si="3"/>
        <v>51</v>
      </c>
      <c r="B53" s="164" t="s">
        <v>92</v>
      </c>
      <c r="C53" s="159"/>
      <c r="D53" s="159"/>
      <c r="E53" s="159">
        <v>30</v>
      </c>
      <c r="F53" s="159">
        <v>10</v>
      </c>
      <c r="G53" s="159">
        <v>17</v>
      </c>
      <c r="H53" s="159">
        <v>0</v>
      </c>
      <c r="I53" s="160"/>
      <c r="J53" s="364">
        <v>34.67</v>
      </c>
    </row>
    <row r="54" spans="1:10" ht="15.75" customHeight="1" x14ac:dyDescent="0.45">
      <c r="A54" s="374">
        <f t="shared" ref="A54:A69" si="4">A53+1</f>
        <v>52</v>
      </c>
      <c r="B54" s="164" t="s">
        <v>91</v>
      </c>
      <c r="C54" s="159"/>
      <c r="D54" s="159"/>
      <c r="E54" s="159">
        <v>11</v>
      </c>
      <c r="F54" s="159">
        <v>5</v>
      </c>
      <c r="G54" s="159">
        <v>4</v>
      </c>
      <c r="H54" s="159">
        <v>0</v>
      </c>
      <c r="I54" s="160"/>
      <c r="J54" s="372">
        <v>12.04</v>
      </c>
    </row>
    <row r="55" spans="1:10" ht="15.75" customHeight="1" x14ac:dyDescent="0.45">
      <c r="A55" s="158">
        <f t="shared" si="4"/>
        <v>53</v>
      </c>
      <c r="B55" s="296" t="s">
        <v>151</v>
      </c>
      <c r="C55" s="159"/>
      <c r="D55" s="159"/>
      <c r="E55" s="159">
        <v>50</v>
      </c>
      <c r="F55" s="159"/>
      <c r="G55" s="159">
        <v>18</v>
      </c>
      <c r="H55" s="159">
        <v>0</v>
      </c>
      <c r="I55" s="160"/>
      <c r="J55" s="160"/>
    </row>
    <row r="56" spans="1:10" ht="15.75" customHeight="1" x14ac:dyDescent="0.45">
      <c r="A56" s="374">
        <f t="shared" si="4"/>
        <v>54</v>
      </c>
      <c r="B56" s="164" t="s">
        <v>102</v>
      </c>
      <c r="C56" s="159"/>
      <c r="D56" s="159"/>
      <c r="E56" s="159"/>
      <c r="F56" s="159">
        <v>25</v>
      </c>
      <c r="G56" s="159">
        <v>20</v>
      </c>
      <c r="H56" s="159">
        <v>0</v>
      </c>
      <c r="I56" s="160"/>
      <c r="J56" s="372">
        <v>27.16</v>
      </c>
    </row>
    <row r="57" spans="1:10" ht="15.75" customHeight="1" x14ac:dyDescent="0.45">
      <c r="A57" s="374">
        <f t="shared" si="4"/>
        <v>55</v>
      </c>
      <c r="B57" s="164" t="s">
        <v>152</v>
      </c>
      <c r="C57" s="159"/>
      <c r="D57" s="159"/>
      <c r="E57" s="159"/>
      <c r="F57" s="159">
        <v>27</v>
      </c>
      <c r="G57" s="159">
        <v>22</v>
      </c>
      <c r="H57" s="159">
        <v>0</v>
      </c>
      <c r="I57" s="160"/>
      <c r="J57" s="372">
        <v>20.96</v>
      </c>
    </row>
    <row r="58" spans="1:10" ht="15.75" customHeight="1" thickBot="1" x14ac:dyDescent="0.5">
      <c r="A58" s="374">
        <f t="shared" si="4"/>
        <v>56</v>
      </c>
      <c r="B58" s="294" t="s">
        <v>153</v>
      </c>
      <c r="C58" s="295"/>
      <c r="D58" s="295"/>
      <c r="E58" s="295"/>
      <c r="F58" s="295">
        <v>16</v>
      </c>
      <c r="G58" s="295">
        <v>13</v>
      </c>
      <c r="H58" s="295">
        <v>0</v>
      </c>
      <c r="I58" s="313"/>
      <c r="J58" s="373">
        <v>34.340000000000003</v>
      </c>
    </row>
    <row r="59" spans="1:10" ht="15.75" customHeight="1" thickTop="1" x14ac:dyDescent="0.45">
      <c r="A59" s="158">
        <f t="shared" si="4"/>
        <v>57</v>
      </c>
      <c r="B59" s="164" t="s">
        <v>154</v>
      </c>
      <c r="C59" s="159"/>
      <c r="D59" s="159">
        <v>9</v>
      </c>
      <c r="E59" s="159">
        <v>25</v>
      </c>
      <c r="F59" s="159"/>
      <c r="G59" s="159">
        <v>6</v>
      </c>
      <c r="H59" s="159">
        <v>0</v>
      </c>
      <c r="I59" s="160"/>
      <c r="J59" s="160"/>
    </row>
    <row r="60" spans="1:10" ht="15.75" customHeight="1" x14ac:dyDescent="0.45">
      <c r="A60" s="374">
        <f t="shared" si="4"/>
        <v>58</v>
      </c>
      <c r="B60" s="164" t="s">
        <v>155</v>
      </c>
      <c r="C60" s="159"/>
      <c r="D60" s="159">
        <v>13</v>
      </c>
      <c r="E60" s="159">
        <v>23</v>
      </c>
      <c r="F60" s="159"/>
      <c r="G60" s="159">
        <v>6</v>
      </c>
      <c r="H60" s="159">
        <v>0</v>
      </c>
      <c r="I60" s="160"/>
      <c r="J60" s="370">
        <v>28.85</v>
      </c>
    </row>
    <row r="61" spans="1:10" ht="15.75" customHeight="1" x14ac:dyDescent="0.45">
      <c r="A61" s="158">
        <f t="shared" si="4"/>
        <v>59</v>
      </c>
      <c r="B61" s="164" t="s">
        <v>156</v>
      </c>
      <c r="C61" s="159"/>
      <c r="D61" s="159">
        <v>20</v>
      </c>
      <c r="E61" s="159">
        <v>30</v>
      </c>
      <c r="F61" s="159"/>
      <c r="G61" s="159">
        <v>2</v>
      </c>
      <c r="H61" s="159">
        <v>0</v>
      </c>
      <c r="I61" s="160"/>
      <c r="J61" s="160"/>
    </row>
    <row r="62" spans="1:10" ht="15.75" customHeight="1" x14ac:dyDescent="0.45">
      <c r="A62" s="158">
        <f t="shared" si="4"/>
        <v>60</v>
      </c>
      <c r="B62" s="164" t="s">
        <v>157</v>
      </c>
      <c r="C62" s="159"/>
      <c r="D62" s="159">
        <v>12</v>
      </c>
      <c r="E62" s="159">
        <v>19</v>
      </c>
      <c r="F62" s="159"/>
      <c r="G62" s="159">
        <v>8</v>
      </c>
      <c r="H62" s="159">
        <v>0</v>
      </c>
      <c r="I62" s="160"/>
      <c r="J62" s="160">
        <v>23.5</v>
      </c>
    </row>
    <row r="63" spans="1:10" ht="15.75" customHeight="1" x14ac:dyDescent="0.45">
      <c r="A63" s="158">
        <f t="shared" si="4"/>
        <v>61</v>
      </c>
      <c r="B63" s="164" t="s">
        <v>158</v>
      </c>
      <c r="C63" s="159"/>
      <c r="D63" s="159">
        <v>15</v>
      </c>
      <c r="E63" s="159">
        <v>20</v>
      </c>
      <c r="F63" s="159"/>
      <c r="G63" s="159">
        <v>6</v>
      </c>
      <c r="H63" s="159">
        <v>0</v>
      </c>
      <c r="I63" s="160"/>
      <c r="J63" s="160"/>
    </row>
    <row r="64" spans="1:10" ht="15.75" customHeight="1" x14ac:dyDescent="0.45">
      <c r="A64" s="158">
        <f t="shared" si="4"/>
        <v>62</v>
      </c>
      <c r="B64" s="164" t="s">
        <v>159</v>
      </c>
      <c r="C64" s="159"/>
      <c r="D64" s="159">
        <v>10</v>
      </c>
      <c r="E64" s="159">
        <v>21</v>
      </c>
      <c r="F64" s="159">
        <v>4</v>
      </c>
      <c r="G64" s="159">
        <v>6</v>
      </c>
      <c r="H64" s="159">
        <v>0</v>
      </c>
      <c r="I64" s="160"/>
      <c r="J64" s="160"/>
    </row>
    <row r="65" spans="1:10" ht="15.75" customHeight="1" x14ac:dyDescent="0.45">
      <c r="A65" s="158">
        <f t="shared" si="4"/>
        <v>63</v>
      </c>
      <c r="B65" s="164" t="s">
        <v>160</v>
      </c>
      <c r="C65" s="159"/>
      <c r="D65" s="159">
        <v>14</v>
      </c>
      <c r="E65" s="159">
        <v>8</v>
      </c>
      <c r="F65" s="159">
        <v>8</v>
      </c>
      <c r="G65" s="159">
        <v>7</v>
      </c>
      <c r="H65" s="159">
        <v>0</v>
      </c>
      <c r="I65" s="160"/>
      <c r="J65" s="160"/>
    </row>
    <row r="66" spans="1:10" ht="15.75" customHeight="1" x14ac:dyDescent="0.45">
      <c r="A66" s="158">
        <f t="shared" si="4"/>
        <v>64</v>
      </c>
      <c r="B66" s="164" t="s">
        <v>161</v>
      </c>
      <c r="C66" s="159"/>
      <c r="D66" s="159">
        <v>15</v>
      </c>
      <c r="E66" s="159">
        <v>15</v>
      </c>
      <c r="F66" s="159">
        <v>4</v>
      </c>
      <c r="G66" s="159">
        <v>6</v>
      </c>
      <c r="H66" s="159">
        <v>0</v>
      </c>
      <c r="I66" s="160"/>
      <c r="J66" s="160"/>
    </row>
    <row r="67" spans="1:10" ht="15.75" customHeight="1" x14ac:dyDescent="0.45">
      <c r="A67" s="158">
        <f t="shared" si="4"/>
        <v>65</v>
      </c>
      <c r="B67" s="296" t="s">
        <v>162</v>
      </c>
      <c r="C67" s="159"/>
      <c r="D67" s="159">
        <v>12</v>
      </c>
      <c r="E67" s="159">
        <v>24</v>
      </c>
      <c r="F67" s="159"/>
      <c r="G67" s="159">
        <v>6</v>
      </c>
      <c r="H67" s="159">
        <v>6</v>
      </c>
      <c r="I67" s="160">
        <f>-6*Düngemittelpreise!$K$24</f>
        <v>-6.7026346880907361</v>
      </c>
      <c r="J67" s="160"/>
    </row>
    <row r="68" spans="1:10" ht="15.75" customHeight="1" x14ac:dyDescent="0.45">
      <c r="A68" s="158">
        <f t="shared" si="4"/>
        <v>66</v>
      </c>
      <c r="B68" s="296" t="s">
        <v>163</v>
      </c>
      <c r="C68" s="159"/>
      <c r="D68" s="159">
        <v>15</v>
      </c>
      <c r="E68" s="159">
        <v>20</v>
      </c>
      <c r="F68" s="159"/>
      <c r="G68" s="159">
        <v>7</v>
      </c>
      <c r="H68" s="159">
        <v>7</v>
      </c>
      <c r="I68" s="160">
        <f>-7.5*Düngemittelpreise!$K$24</f>
        <v>-8.3782933601134193</v>
      </c>
      <c r="J68" s="160"/>
    </row>
    <row r="69" spans="1:10" ht="15.75" customHeight="1" x14ac:dyDescent="0.45">
      <c r="A69" s="158">
        <f t="shared" si="4"/>
        <v>67</v>
      </c>
      <c r="B69" s="296" t="s">
        <v>164</v>
      </c>
      <c r="C69" s="159"/>
      <c r="D69" s="159">
        <v>16</v>
      </c>
      <c r="E69" s="159">
        <v>12</v>
      </c>
      <c r="F69" s="159"/>
      <c r="G69" s="159">
        <v>6</v>
      </c>
      <c r="H69" s="159">
        <v>5</v>
      </c>
      <c r="I69" s="160">
        <f>-8*Düngemittelpreise!$K$24</f>
        <v>-8.9368462507876476</v>
      </c>
      <c r="J69" s="160"/>
    </row>
    <row r="70" spans="1:10" ht="15.75" customHeight="1" x14ac:dyDescent="0.45">
      <c r="A70" s="158">
        <f t="shared" ref="A70:A80" si="5">A69+1</f>
        <v>68</v>
      </c>
      <c r="B70" s="296" t="s">
        <v>165</v>
      </c>
      <c r="C70" s="159"/>
      <c r="D70" s="159">
        <v>16</v>
      </c>
      <c r="E70" s="159">
        <v>16</v>
      </c>
      <c r="F70" s="159"/>
      <c r="G70" s="159">
        <v>7</v>
      </c>
      <c r="H70" s="159">
        <v>8</v>
      </c>
      <c r="I70" s="160">
        <f>-8*Düngemittelpreise!$K$24</f>
        <v>-8.9368462507876476</v>
      </c>
      <c r="J70" s="160"/>
    </row>
    <row r="71" spans="1:10" ht="15.75" customHeight="1" x14ac:dyDescent="0.45">
      <c r="A71" s="158">
        <f t="shared" si="5"/>
        <v>69</v>
      </c>
      <c r="B71" s="296" t="s">
        <v>166</v>
      </c>
      <c r="C71" s="159"/>
      <c r="D71" s="159">
        <v>18</v>
      </c>
      <c r="E71" s="159">
        <v>10</v>
      </c>
      <c r="F71" s="159"/>
      <c r="G71" s="159">
        <v>8</v>
      </c>
      <c r="H71" s="159">
        <v>10</v>
      </c>
      <c r="I71" s="160">
        <f>-9*Düngemittelpreise!$K$24</f>
        <v>-10.053952032136104</v>
      </c>
      <c r="J71" s="160"/>
    </row>
    <row r="72" spans="1:10" ht="15.75" customHeight="1" x14ac:dyDescent="0.45">
      <c r="A72" s="158">
        <f t="shared" si="5"/>
        <v>70</v>
      </c>
      <c r="B72" s="296" t="s">
        <v>167</v>
      </c>
      <c r="C72" s="159"/>
      <c r="D72" s="159">
        <v>12</v>
      </c>
      <c r="E72" s="159">
        <v>19</v>
      </c>
      <c r="F72" s="159">
        <v>4</v>
      </c>
      <c r="G72" s="159">
        <v>5</v>
      </c>
      <c r="H72" s="159">
        <v>4</v>
      </c>
      <c r="I72" s="160">
        <f>-6*Düngemittelpreise!$K$24</f>
        <v>-6.7026346880907361</v>
      </c>
      <c r="J72" s="160"/>
    </row>
    <row r="73" spans="1:10" ht="15.75" customHeight="1" x14ac:dyDescent="0.45">
      <c r="A73" s="158">
        <f t="shared" si="5"/>
        <v>71</v>
      </c>
      <c r="B73" s="296" t="s">
        <v>168</v>
      </c>
      <c r="C73" s="159"/>
      <c r="D73" s="159">
        <v>14</v>
      </c>
      <c r="E73" s="159">
        <v>14</v>
      </c>
      <c r="F73" s="159">
        <v>4</v>
      </c>
      <c r="G73" s="159">
        <v>9</v>
      </c>
      <c r="H73" s="159">
        <v>5</v>
      </c>
      <c r="I73" s="160">
        <f>-7*Düngemittelpreise!$K$24</f>
        <v>-7.8197404694391919</v>
      </c>
      <c r="J73" s="160"/>
    </row>
    <row r="74" spans="1:10" ht="15.75" customHeight="1" x14ac:dyDescent="0.45">
      <c r="A74" s="158">
        <f t="shared" si="5"/>
        <v>72</v>
      </c>
      <c r="B74" s="164" t="s">
        <v>169</v>
      </c>
      <c r="C74" s="159"/>
      <c r="D74" s="159">
        <v>7</v>
      </c>
      <c r="E74" s="159">
        <v>21</v>
      </c>
      <c r="F74" s="159">
        <v>3</v>
      </c>
      <c r="G74" s="159">
        <v>2</v>
      </c>
      <c r="H74" s="159">
        <v>22</v>
      </c>
      <c r="I74" s="160">
        <v>2</v>
      </c>
      <c r="J74" s="160">
        <v>22.7</v>
      </c>
    </row>
    <row r="75" spans="1:10" ht="15.75" customHeight="1" x14ac:dyDescent="0.45">
      <c r="A75" s="374">
        <f t="shared" si="5"/>
        <v>73</v>
      </c>
      <c r="B75" s="164" t="s">
        <v>170</v>
      </c>
      <c r="C75" s="159"/>
      <c r="D75" s="159">
        <v>10</v>
      </c>
      <c r="E75" s="159">
        <v>20</v>
      </c>
      <c r="F75" s="159">
        <v>3</v>
      </c>
      <c r="G75" s="159">
        <v>2</v>
      </c>
      <c r="H75" s="159">
        <v>21</v>
      </c>
      <c r="I75" s="160">
        <v>2</v>
      </c>
      <c r="J75" s="370">
        <v>26.79</v>
      </c>
    </row>
    <row r="76" spans="1:10" ht="15.75" customHeight="1" x14ac:dyDescent="0.45">
      <c r="A76" s="158">
        <f t="shared" si="5"/>
        <v>74</v>
      </c>
      <c r="B76" s="164" t="s">
        <v>171</v>
      </c>
      <c r="C76" s="159"/>
      <c r="D76" s="159">
        <v>12</v>
      </c>
      <c r="E76" s="159">
        <v>18</v>
      </c>
      <c r="F76" s="159">
        <v>3</v>
      </c>
      <c r="G76" s="159">
        <v>2</v>
      </c>
      <c r="H76" s="159">
        <v>20</v>
      </c>
      <c r="I76" s="160">
        <v>2</v>
      </c>
      <c r="J76" s="160">
        <v>26.95</v>
      </c>
    </row>
    <row r="77" spans="1:10" ht="15.75" customHeight="1" x14ac:dyDescent="0.45">
      <c r="A77" s="374">
        <f t="shared" si="5"/>
        <v>75</v>
      </c>
      <c r="B77" s="164" t="s">
        <v>172</v>
      </c>
      <c r="C77" s="159"/>
      <c r="D77" s="159">
        <v>10</v>
      </c>
      <c r="E77" s="159">
        <v>15</v>
      </c>
      <c r="F77" s="159">
        <v>3</v>
      </c>
      <c r="G77" s="159">
        <v>2</v>
      </c>
      <c r="H77" s="159">
        <v>24</v>
      </c>
      <c r="I77" s="160">
        <v>2</v>
      </c>
      <c r="J77" s="370">
        <v>24.75</v>
      </c>
    </row>
    <row r="78" spans="1:10" ht="15.75" customHeight="1" x14ac:dyDescent="0.45">
      <c r="A78" s="158">
        <f t="shared" si="5"/>
        <v>76</v>
      </c>
      <c r="B78" s="164" t="s">
        <v>173</v>
      </c>
      <c r="C78" s="159"/>
      <c r="D78" s="159">
        <v>8</v>
      </c>
      <c r="E78" s="159">
        <v>15</v>
      </c>
      <c r="F78" s="159">
        <v>6</v>
      </c>
      <c r="G78" s="159">
        <v>3</v>
      </c>
      <c r="H78" s="159">
        <v>21</v>
      </c>
      <c r="I78" s="160">
        <v>2</v>
      </c>
      <c r="J78" s="160">
        <v>23.2</v>
      </c>
    </row>
    <row r="79" spans="1:10" ht="15.75" customHeight="1" x14ac:dyDescent="0.45">
      <c r="A79" s="158">
        <f t="shared" si="5"/>
        <v>77</v>
      </c>
      <c r="B79" s="164" t="s">
        <v>174</v>
      </c>
      <c r="C79" s="159"/>
      <c r="D79" s="159">
        <v>11</v>
      </c>
      <c r="E79" s="159">
        <v>11</v>
      </c>
      <c r="F79" s="159">
        <v>4</v>
      </c>
      <c r="G79" s="159">
        <v>2</v>
      </c>
      <c r="H79" s="159">
        <v>25</v>
      </c>
      <c r="I79" s="160">
        <v>2</v>
      </c>
      <c r="J79" s="160">
        <v>23.95</v>
      </c>
    </row>
    <row r="80" spans="1:10" ht="15.75" customHeight="1" x14ac:dyDescent="0.45">
      <c r="A80" s="158">
        <f t="shared" si="5"/>
        <v>78</v>
      </c>
      <c r="B80" s="296" t="s">
        <v>175</v>
      </c>
      <c r="C80" s="159"/>
      <c r="D80" s="159">
        <v>14</v>
      </c>
      <c r="E80" s="159">
        <v>8</v>
      </c>
      <c r="F80" s="159">
        <v>4</v>
      </c>
      <c r="G80" s="159">
        <v>2</v>
      </c>
      <c r="H80" s="159">
        <v>20</v>
      </c>
      <c r="I80" s="160">
        <v>2</v>
      </c>
      <c r="J80" s="160">
        <v>26.7</v>
      </c>
    </row>
    <row r="81" spans="1:10" ht="15.75" customHeight="1" thickBot="1" x14ac:dyDescent="0.5">
      <c r="A81" s="158">
        <f t="shared" ref="A81:A86" si="6">A80+1</f>
        <v>79</v>
      </c>
      <c r="B81" s="294" t="s">
        <v>176</v>
      </c>
      <c r="C81" s="295"/>
      <c r="D81" s="295">
        <v>8</v>
      </c>
      <c r="E81" s="295">
        <v>14</v>
      </c>
      <c r="F81" s="295">
        <v>4</v>
      </c>
      <c r="G81" s="295">
        <v>9</v>
      </c>
      <c r="H81" s="295">
        <v>25</v>
      </c>
      <c r="I81" s="313">
        <v>1.5</v>
      </c>
      <c r="J81" s="313"/>
    </row>
    <row r="82" spans="1:10" ht="15.75" customHeight="1" thickTop="1" x14ac:dyDescent="0.45">
      <c r="A82" s="158">
        <f t="shared" si="6"/>
        <v>80</v>
      </c>
      <c r="B82" s="164" t="s">
        <v>177</v>
      </c>
      <c r="C82" s="159"/>
      <c r="D82" s="159"/>
      <c r="E82" s="159"/>
      <c r="F82" s="159"/>
      <c r="G82" s="159"/>
      <c r="H82" s="159">
        <v>50</v>
      </c>
      <c r="I82" s="160"/>
      <c r="J82" s="160"/>
    </row>
    <row r="83" spans="1:10" ht="15.75" customHeight="1" x14ac:dyDescent="0.45">
      <c r="A83" s="374">
        <f t="shared" si="6"/>
        <v>81</v>
      </c>
      <c r="B83" s="164" t="s">
        <v>178</v>
      </c>
      <c r="C83" s="159"/>
      <c r="D83" s="159"/>
      <c r="E83" s="159"/>
      <c r="F83" s="159"/>
      <c r="G83" s="159"/>
      <c r="H83" s="159">
        <v>48</v>
      </c>
      <c r="I83" s="160">
        <v>2.5</v>
      </c>
      <c r="J83" s="372">
        <v>2.75</v>
      </c>
    </row>
    <row r="84" spans="1:10" ht="15.75" customHeight="1" x14ac:dyDescent="0.45">
      <c r="A84" s="158">
        <f t="shared" si="6"/>
        <v>82</v>
      </c>
      <c r="B84" s="164" t="s">
        <v>179</v>
      </c>
      <c r="C84" s="159"/>
      <c r="D84" s="159"/>
      <c r="E84" s="159"/>
      <c r="F84" s="159"/>
      <c r="G84" s="159"/>
      <c r="H84" s="159">
        <v>45</v>
      </c>
      <c r="I84" s="160"/>
      <c r="J84" s="160"/>
    </row>
    <row r="85" spans="1:10" ht="15.75" customHeight="1" x14ac:dyDescent="0.45">
      <c r="A85" s="374">
        <f t="shared" si="6"/>
        <v>83</v>
      </c>
      <c r="B85" s="164" t="s">
        <v>96</v>
      </c>
      <c r="C85" s="159"/>
      <c r="D85" s="159"/>
      <c r="E85" s="159"/>
      <c r="F85" s="159">
        <v>2</v>
      </c>
      <c r="G85" s="159"/>
      <c r="H85" s="159">
        <v>48</v>
      </c>
      <c r="I85" s="160"/>
      <c r="J85" s="372">
        <v>2.86</v>
      </c>
    </row>
    <row r="86" spans="1:10" ht="15.75" customHeight="1" x14ac:dyDescent="0.45">
      <c r="A86" s="374">
        <f t="shared" si="6"/>
        <v>84</v>
      </c>
      <c r="B86" s="164" t="s">
        <v>180</v>
      </c>
      <c r="C86" s="159"/>
      <c r="D86" s="159"/>
      <c r="E86" s="159"/>
      <c r="F86" s="159">
        <v>7</v>
      </c>
      <c r="G86" s="159"/>
      <c r="H86" s="159">
        <v>49</v>
      </c>
      <c r="I86" s="160"/>
      <c r="J86" s="364">
        <v>4.8600000000000003</v>
      </c>
    </row>
    <row r="87" spans="1:10" ht="15.75" customHeight="1" x14ac:dyDescent="0.45">
      <c r="A87" s="158">
        <f t="shared" ref="A87:A103" si="7">A86+1</f>
        <v>85</v>
      </c>
      <c r="B87" s="164" t="s">
        <v>181</v>
      </c>
      <c r="C87" s="159"/>
      <c r="D87" s="159"/>
      <c r="E87" s="159"/>
      <c r="F87" s="159">
        <v>12</v>
      </c>
      <c r="G87" s="159"/>
      <c r="H87" s="159">
        <v>44</v>
      </c>
      <c r="I87" s="160"/>
      <c r="J87" s="160">
        <v>2.25</v>
      </c>
    </row>
    <row r="88" spans="1:10" ht="15.75" customHeight="1" x14ac:dyDescent="0.45">
      <c r="A88" s="158">
        <f t="shared" si="7"/>
        <v>86</v>
      </c>
      <c r="B88" s="164" t="s">
        <v>182</v>
      </c>
      <c r="C88" s="159"/>
      <c r="D88" s="159"/>
      <c r="E88" s="159"/>
      <c r="F88" s="159">
        <v>17</v>
      </c>
      <c r="G88" s="159"/>
      <c r="H88" s="159">
        <v>48</v>
      </c>
      <c r="I88" s="160"/>
      <c r="J88" s="160">
        <v>2.8</v>
      </c>
    </row>
    <row r="89" spans="1:10" ht="15.75" customHeight="1" x14ac:dyDescent="0.45">
      <c r="A89" s="158">
        <f t="shared" si="7"/>
        <v>87</v>
      </c>
      <c r="B89" s="164" t="s">
        <v>183</v>
      </c>
      <c r="C89" s="159"/>
      <c r="D89" s="159"/>
      <c r="E89" s="159"/>
      <c r="F89" s="159"/>
      <c r="G89" s="159"/>
      <c r="H89" s="159">
        <v>90</v>
      </c>
      <c r="I89" s="160"/>
      <c r="J89" s="160"/>
    </row>
    <row r="90" spans="1:10" ht="15.75" customHeight="1" x14ac:dyDescent="0.45">
      <c r="A90" s="158">
        <f t="shared" si="7"/>
        <v>88</v>
      </c>
      <c r="B90" s="164" t="s">
        <v>184</v>
      </c>
      <c r="C90" s="159"/>
      <c r="D90" s="159"/>
      <c r="E90" s="159"/>
      <c r="F90" s="159"/>
      <c r="G90" s="159"/>
      <c r="H90" s="159">
        <v>85</v>
      </c>
      <c r="I90" s="160"/>
      <c r="J90" s="160"/>
    </row>
    <row r="91" spans="1:10" ht="15.75" customHeight="1" x14ac:dyDescent="0.45">
      <c r="A91" s="158">
        <f t="shared" si="7"/>
        <v>89</v>
      </c>
      <c r="B91" s="164" t="s">
        <v>185</v>
      </c>
      <c r="C91" s="159"/>
      <c r="D91" s="159"/>
      <c r="E91" s="159"/>
      <c r="F91" s="159"/>
      <c r="G91" s="159"/>
      <c r="H91" s="159">
        <v>80</v>
      </c>
      <c r="I91" s="160"/>
      <c r="J91" s="160"/>
    </row>
    <row r="92" spans="1:10" ht="15.75" customHeight="1" x14ac:dyDescent="0.45">
      <c r="A92" s="158">
        <f t="shared" si="7"/>
        <v>90</v>
      </c>
      <c r="B92" s="164" t="s">
        <v>186</v>
      </c>
      <c r="C92" s="159"/>
      <c r="D92" s="159"/>
      <c r="E92" s="159"/>
      <c r="F92" s="159"/>
      <c r="G92" s="159"/>
      <c r="H92" s="159">
        <v>75</v>
      </c>
      <c r="I92" s="160"/>
      <c r="J92" s="160">
        <v>12.5</v>
      </c>
    </row>
    <row r="93" spans="1:10" ht="15.75" customHeight="1" x14ac:dyDescent="0.45">
      <c r="A93" s="158">
        <f t="shared" si="7"/>
        <v>91</v>
      </c>
      <c r="B93" s="164" t="s">
        <v>187</v>
      </c>
      <c r="C93" s="159"/>
      <c r="D93" s="159"/>
      <c r="E93" s="159"/>
      <c r="F93" s="159">
        <v>2</v>
      </c>
      <c r="G93" s="159"/>
      <c r="H93" s="159">
        <v>45</v>
      </c>
      <c r="I93" s="160">
        <v>2.5</v>
      </c>
      <c r="J93" s="160">
        <v>6</v>
      </c>
    </row>
    <row r="94" spans="1:10" ht="15.75" customHeight="1" x14ac:dyDescent="0.45">
      <c r="A94" s="158">
        <f t="shared" si="7"/>
        <v>92</v>
      </c>
      <c r="B94" s="164" t="s">
        <v>188</v>
      </c>
      <c r="C94" s="159"/>
      <c r="D94" s="159"/>
      <c r="E94" s="159"/>
      <c r="F94" s="159">
        <v>2</v>
      </c>
      <c r="G94" s="159"/>
      <c r="H94" s="159">
        <v>43</v>
      </c>
      <c r="I94" s="160">
        <v>2.5</v>
      </c>
      <c r="J94" s="160">
        <v>6</v>
      </c>
    </row>
    <row r="95" spans="1:10" ht="15.75" customHeight="1" x14ac:dyDescent="0.45">
      <c r="A95" s="158">
        <f t="shared" si="7"/>
        <v>93</v>
      </c>
      <c r="B95" s="164" t="s">
        <v>189</v>
      </c>
      <c r="C95" s="159"/>
      <c r="D95" s="159"/>
      <c r="E95" s="159"/>
      <c r="F95" s="159">
        <v>7</v>
      </c>
      <c r="G95" s="159"/>
      <c r="H95" s="159">
        <v>44</v>
      </c>
      <c r="I95" s="160">
        <v>1.5</v>
      </c>
      <c r="J95" s="160">
        <v>7.8</v>
      </c>
    </row>
    <row r="96" spans="1:10" ht="15.75" customHeight="1" x14ac:dyDescent="0.45">
      <c r="A96" s="158">
        <f t="shared" si="7"/>
        <v>94</v>
      </c>
      <c r="B96" s="164" t="s">
        <v>190</v>
      </c>
      <c r="C96" s="159"/>
      <c r="D96" s="159"/>
      <c r="E96" s="159"/>
      <c r="F96" s="159">
        <v>9</v>
      </c>
      <c r="G96" s="159"/>
      <c r="H96" s="159">
        <v>47</v>
      </c>
      <c r="I96" s="160">
        <v>1.5</v>
      </c>
      <c r="J96" s="160">
        <v>13</v>
      </c>
    </row>
    <row r="97" spans="1:10" ht="15.75" customHeight="1" x14ac:dyDescent="0.45">
      <c r="A97" s="158">
        <f t="shared" si="7"/>
        <v>95</v>
      </c>
      <c r="B97" s="164" t="s">
        <v>191</v>
      </c>
      <c r="C97" s="159"/>
      <c r="D97" s="159">
        <v>4</v>
      </c>
      <c r="E97" s="159"/>
      <c r="F97" s="159">
        <v>3</v>
      </c>
      <c r="G97" s="159"/>
      <c r="H97" s="159">
        <v>45</v>
      </c>
      <c r="I97" s="160"/>
      <c r="J97" s="160">
        <v>9.75</v>
      </c>
    </row>
    <row r="98" spans="1:10" ht="15.75" customHeight="1" x14ac:dyDescent="0.45">
      <c r="A98" s="158">
        <f t="shared" si="7"/>
        <v>96</v>
      </c>
      <c r="B98" s="164" t="s">
        <v>192</v>
      </c>
      <c r="C98" s="159"/>
      <c r="D98" s="159">
        <v>8</v>
      </c>
      <c r="E98" s="159"/>
      <c r="F98" s="159">
        <v>3</v>
      </c>
      <c r="G98" s="159"/>
      <c r="H98" s="159">
        <v>43</v>
      </c>
      <c r="I98" s="160"/>
      <c r="J98" s="160">
        <v>9.75</v>
      </c>
    </row>
    <row r="99" spans="1:10" ht="15.75" customHeight="1" x14ac:dyDescent="0.45">
      <c r="A99" s="158">
        <f t="shared" si="7"/>
        <v>97</v>
      </c>
      <c r="B99" s="164" t="s">
        <v>193</v>
      </c>
      <c r="C99" s="159">
        <v>0.35</v>
      </c>
      <c r="D99" s="159">
        <v>1.1000000000000001</v>
      </c>
      <c r="E99" s="159"/>
      <c r="F99" s="159">
        <v>0.8</v>
      </c>
      <c r="G99" s="159"/>
      <c r="H99" s="159">
        <v>25</v>
      </c>
      <c r="I99" s="160"/>
      <c r="J99" s="160">
        <v>2.15</v>
      </c>
    </row>
    <row r="100" spans="1:10" ht="15.75" customHeight="1" x14ac:dyDescent="0.45">
      <c r="A100" s="374">
        <f t="shared" si="7"/>
        <v>98</v>
      </c>
      <c r="B100" s="164" t="s">
        <v>194</v>
      </c>
      <c r="C100" s="159"/>
      <c r="D100" s="159"/>
      <c r="E100" s="159"/>
      <c r="F100" s="159">
        <v>20</v>
      </c>
      <c r="G100" s="159"/>
      <c r="H100" s="159">
        <v>35</v>
      </c>
      <c r="I100" s="160"/>
      <c r="J100" s="160">
        <v>4.07</v>
      </c>
    </row>
    <row r="101" spans="1:10" ht="15.75" customHeight="1" x14ac:dyDescent="0.45">
      <c r="A101" s="158">
        <f t="shared" si="7"/>
        <v>99</v>
      </c>
      <c r="B101" s="164"/>
      <c r="C101" s="159"/>
      <c r="D101" s="159"/>
      <c r="E101" s="159"/>
      <c r="F101" s="159"/>
      <c r="G101" s="159"/>
      <c r="H101" s="159"/>
      <c r="I101" s="160"/>
      <c r="J101" s="160"/>
    </row>
    <row r="102" spans="1:10" ht="15.75" customHeight="1" x14ac:dyDescent="0.45">
      <c r="A102" s="158">
        <f t="shared" si="7"/>
        <v>100</v>
      </c>
      <c r="B102" s="164"/>
      <c r="C102" s="159"/>
      <c r="D102" s="159"/>
      <c r="E102" s="159"/>
      <c r="F102" s="159"/>
      <c r="G102" s="159"/>
      <c r="H102" s="159"/>
      <c r="I102" s="160"/>
      <c r="J102" s="160"/>
    </row>
    <row r="103" spans="1:10" ht="15.75" customHeight="1" x14ac:dyDescent="0.5">
      <c r="A103" s="158">
        <f t="shared" si="7"/>
        <v>101</v>
      </c>
      <c r="B103" s="471" t="s">
        <v>195</v>
      </c>
      <c r="C103" s="159"/>
      <c r="D103" s="159"/>
      <c r="E103" s="159"/>
      <c r="F103" s="159"/>
      <c r="G103" s="159"/>
      <c r="H103" s="159"/>
      <c r="I103" s="160"/>
      <c r="J103" s="160"/>
    </row>
    <row r="104" spans="1:10" ht="15.75" customHeight="1" x14ac:dyDescent="0.45">
      <c r="A104" s="374">
        <f t="shared" ref="A104:A117" si="8">A103+1</f>
        <v>102</v>
      </c>
      <c r="B104" s="296" t="s">
        <v>196</v>
      </c>
      <c r="C104" s="159">
        <v>24</v>
      </c>
      <c r="D104" s="159"/>
      <c r="E104" s="159"/>
      <c r="F104" s="159"/>
      <c r="G104" s="159">
        <v>3</v>
      </c>
      <c r="H104" s="159">
        <v>-24</v>
      </c>
      <c r="I104" s="160"/>
      <c r="J104" s="368">
        <v>29.51</v>
      </c>
    </row>
    <row r="105" spans="1:10" ht="15.75" customHeight="1" x14ac:dyDescent="0.45">
      <c r="A105" s="374">
        <f t="shared" si="8"/>
        <v>103</v>
      </c>
      <c r="B105" s="164" t="s">
        <v>197</v>
      </c>
      <c r="C105" s="159">
        <v>38</v>
      </c>
      <c r="D105" s="159"/>
      <c r="E105" s="159"/>
      <c r="F105" s="159"/>
      <c r="G105" s="159">
        <v>7</v>
      </c>
      <c r="H105" s="159">
        <v>-40</v>
      </c>
      <c r="I105" s="160"/>
      <c r="J105" s="368">
        <v>37.67</v>
      </c>
    </row>
    <row r="106" spans="1:10" ht="15.75" customHeight="1" x14ac:dyDescent="0.45">
      <c r="A106" s="158">
        <f t="shared" si="8"/>
        <v>104</v>
      </c>
      <c r="B106" s="164" t="s">
        <v>198</v>
      </c>
      <c r="C106" s="159"/>
      <c r="D106" s="159"/>
      <c r="E106" s="159"/>
      <c r="F106" s="159"/>
      <c r="G106" s="159">
        <v>100</v>
      </c>
      <c r="H106" s="159"/>
      <c r="I106" s="160"/>
      <c r="J106" s="365">
        <v>35</v>
      </c>
    </row>
    <row r="107" spans="1:10" ht="15.75" customHeight="1" x14ac:dyDescent="0.45">
      <c r="A107" s="158">
        <f t="shared" si="8"/>
        <v>105</v>
      </c>
      <c r="B107" s="164" t="s">
        <v>94</v>
      </c>
      <c r="C107" s="159">
        <v>33</v>
      </c>
      <c r="D107" s="159"/>
      <c r="E107" s="159"/>
      <c r="F107" s="159"/>
      <c r="G107" s="159">
        <v>12</v>
      </c>
      <c r="H107" s="159">
        <v>-40</v>
      </c>
      <c r="I107" s="160"/>
      <c r="J107" s="160"/>
    </row>
    <row r="108" spans="1:10" ht="15.75" customHeight="1" x14ac:dyDescent="0.45">
      <c r="A108" s="158">
        <f t="shared" si="8"/>
        <v>106</v>
      </c>
      <c r="B108" s="164" t="s">
        <v>97</v>
      </c>
      <c r="C108" s="159"/>
      <c r="D108" s="159"/>
      <c r="E108" s="159"/>
      <c r="F108" s="159"/>
      <c r="G108" s="159"/>
      <c r="H108" s="159"/>
      <c r="I108" s="160"/>
      <c r="J108" s="160"/>
    </row>
    <row r="109" spans="1:10" ht="15.75" customHeight="1" x14ac:dyDescent="0.45">
      <c r="A109" s="158">
        <f t="shared" si="8"/>
        <v>107</v>
      </c>
      <c r="B109" s="164"/>
      <c r="C109" s="159"/>
      <c r="D109" s="159"/>
      <c r="E109" s="159"/>
      <c r="F109" s="159"/>
      <c r="G109" s="159"/>
      <c r="H109" s="159"/>
      <c r="I109" s="160"/>
      <c r="J109" s="160"/>
    </row>
    <row r="110" spans="1:10" ht="15.75" customHeight="1" x14ac:dyDescent="0.45">
      <c r="A110" s="158">
        <f t="shared" si="8"/>
        <v>108</v>
      </c>
      <c r="B110" s="164"/>
      <c r="C110" s="159"/>
      <c r="D110" s="159"/>
      <c r="E110" s="159"/>
      <c r="F110" s="159"/>
      <c r="G110" s="159"/>
      <c r="H110" s="159"/>
      <c r="I110" s="160"/>
      <c r="J110" s="160"/>
    </row>
    <row r="111" spans="1:10" ht="15.75" customHeight="1" x14ac:dyDescent="0.45">
      <c r="A111" s="158">
        <f t="shared" si="8"/>
        <v>109</v>
      </c>
      <c r="B111" s="164"/>
      <c r="C111" s="159"/>
      <c r="D111" s="159"/>
      <c r="E111" s="159"/>
      <c r="F111" s="159"/>
      <c r="G111" s="159"/>
      <c r="H111" s="159"/>
      <c r="I111" s="160"/>
      <c r="J111" s="160"/>
    </row>
    <row r="112" spans="1:10" ht="15.75" customHeight="1" x14ac:dyDescent="0.45">
      <c r="A112" s="158">
        <f t="shared" si="8"/>
        <v>110</v>
      </c>
      <c r="B112" s="164"/>
      <c r="C112" s="159"/>
      <c r="D112" s="159"/>
      <c r="E112" s="159"/>
      <c r="F112" s="159"/>
      <c r="G112" s="159"/>
      <c r="H112" s="159"/>
      <c r="I112" s="160"/>
      <c r="J112" s="160"/>
    </row>
    <row r="113" spans="1:10" ht="15.75" customHeight="1" x14ac:dyDescent="0.45">
      <c r="A113" s="158">
        <f t="shared" si="8"/>
        <v>111</v>
      </c>
      <c r="B113" s="164"/>
      <c r="C113" s="159"/>
      <c r="D113" s="159"/>
      <c r="E113" s="159"/>
      <c r="F113" s="159"/>
      <c r="G113" s="159"/>
      <c r="H113" s="159"/>
      <c r="I113" s="160"/>
      <c r="J113" s="160"/>
    </row>
    <row r="114" spans="1:10" ht="15.75" customHeight="1" x14ac:dyDescent="0.45">
      <c r="A114" s="158">
        <f t="shared" si="8"/>
        <v>112</v>
      </c>
      <c r="B114" s="164"/>
      <c r="C114" s="159"/>
      <c r="D114" s="159"/>
      <c r="E114" s="159"/>
      <c r="F114" s="159"/>
      <c r="G114" s="159"/>
      <c r="H114" s="159"/>
      <c r="I114" s="160"/>
      <c r="J114" s="160"/>
    </row>
    <row r="115" spans="1:10" ht="15.75" customHeight="1" x14ac:dyDescent="0.45">
      <c r="A115" s="158">
        <f t="shared" si="8"/>
        <v>113</v>
      </c>
      <c r="B115" s="164"/>
      <c r="C115" s="159"/>
      <c r="D115" s="159"/>
      <c r="E115" s="159"/>
      <c r="F115" s="159"/>
      <c r="G115" s="159"/>
      <c r="H115" s="159"/>
      <c r="I115" s="160"/>
      <c r="J115" s="160"/>
    </row>
    <row r="116" spans="1:10" ht="15.75" customHeight="1" x14ac:dyDescent="0.45">
      <c r="A116" s="158">
        <f t="shared" si="8"/>
        <v>114</v>
      </c>
      <c r="B116" s="164"/>
      <c r="C116" s="159"/>
      <c r="D116" s="159"/>
      <c r="E116" s="159"/>
      <c r="F116" s="159"/>
      <c r="G116" s="159"/>
      <c r="H116" s="159"/>
      <c r="I116" s="160"/>
      <c r="J116" s="160"/>
    </row>
    <row r="117" spans="1:10" ht="15.75" customHeight="1" x14ac:dyDescent="0.45">
      <c r="A117" s="158">
        <f t="shared" si="8"/>
        <v>115</v>
      </c>
      <c r="B117" s="164"/>
      <c r="C117" s="159"/>
      <c r="D117" s="159"/>
      <c r="E117" s="159"/>
      <c r="F117" s="159"/>
      <c r="G117" s="159"/>
      <c r="H117" s="159"/>
      <c r="I117" s="160"/>
      <c r="J117" s="160"/>
    </row>
    <row r="118" spans="1:10" ht="15.75" customHeight="1" x14ac:dyDescent="0.45">
      <c r="A118" s="158">
        <f t="shared" ref="A118:A123" si="9">A117+1</f>
        <v>116</v>
      </c>
      <c r="B118" s="164"/>
      <c r="C118" s="159"/>
      <c r="D118" s="159"/>
      <c r="E118" s="159"/>
      <c r="F118" s="159"/>
      <c r="G118" s="159"/>
      <c r="H118" s="159"/>
      <c r="I118" s="160"/>
      <c r="J118" s="160"/>
    </row>
    <row r="119" spans="1:10" ht="15.75" customHeight="1" x14ac:dyDescent="0.45">
      <c r="A119" s="158">
        <f t="shared" si="9"/>
        <v>117</v>
      </c>
      <c r="B119" s="164"/>
      <c r="C119" s="159"/>
      <c r="D119" s="159"/>
      <c r="E119" s="159"/>
      <c r="F119" s="159"/>
      <c r="G119" s="159"/>
      <c r="H119" s="159"/>
      <c r="I119" s="160"/>
      <c r="J119" s="160"/>
    </row>
    <row r="120" spans="1:10" ht="15.75" customHeight="1" x14ac:dyDescent="0.45">
      <c r="A120" s="158">
        <f t="shared" si="9"/>
        <v>118</v>
      </c>
      <c r="B120" s="164"/>
      <c r="C120" s="159"/>
      <c r="D120" s="159"/>
      <c r="E120" s="159"/>
      <c r="F120" s="159"/>
      <c r="G120" s="159"/>
      <c r="H120" s="159"/>
      <c r="I120" s="160"/>
      <c r="J120" s="160"/>
    </row>
    <row r="121" spans="1:10" ht="15.75" customHeight="1" x14ac:dyDescent="0.45">
      <c r="A121" s="158">
        <f t="shared" si="9"/>
        <v>119</v>
      </c>
      <c r="B121" s="164"/>
      <c r="C121" s="159"/>
      <c r="D121" s="159"/>
      <c r="E121" s="159"/>
      <c r="F121" s="159"/>
      <c r="G121" s="159"/>
      <c r="H121" s="159"/>
      <c r="I121" s="160"/>
      <c r="J121" s="160"/>
    </row>
    <row r="122" spans="1:10" ht="15.75" customHeight="1" x14ac:dyDescent="0.45">
      <c r="A122" s="158">
        <f t="shared" si="9"/>
        <v>120</v>
      </c>
      <c r="B122" s="164"/>
      <c r="C122" s="159"/>
      <c r="D122" s="159"/>
      <c r="E122" s="159"/>
      <c r="F122" s="159"/>
      <c r="G122" s="159"/>
      <c r="H122" s="159"/>
      <c r="I122" s="160"/>
      <c r="J122" s="160"/>
    </row>
    <row r="123" spans="1:10" ht="15.75" customHeight="1" x14ac:dyDescent="0.45">
      <c r="A123" s="158">
        <f t="shared" si="9"/>
        <v>121</v>
      </c>
      <c r="B123" s="164"/>
      <c r="C123" s="159"/>
      <c r="D123" s="159"/>
      <c r="E123" s="159"/>
      <c r="F123" s="159"/>
      <c r="G123" s="159"/>
      <c r="H123" s="159"/>
      <c r="I123" s="160"/>
      <c r="J123" s="160"/>
    </row>
    <row r="124" spans="1:10" ht="15.75" customHeight="1" x14ac:dyDescent="0.6">
      <c r="A124" s="158">
        <f t="shared" ref="A124:A134" si="10">A123+1</f>
        <v>122</v>
      </c>
      <c r="B124" s="299" t="s">
        <v>199</v>
      </c>
      <c r="C124" s="300"/>
      <c r="D124" s="300"/>
      <c r="E124" s="300"/>
      <c r="F124" s="300"/>
      <c r="G124" s="300"/>
      <c r="H124" s="301"/>
      <c r="I124" s="160"/>
      <c r="J124" s="160"/>
    </row>
    <row r="125" spans="1:10" ht="15.75" customHeight="1" x14ac:dyDescent="0.45">
      <c r="A125" s="158">
        <f t="shared" si="10"/>
        <v>123</v>
      </c>
      <c r="B125" s="149"/>
      <c r="C125" s="150" t="s">
        <v>200</v>
      </c>
      <c r="D125" s="472"/>
      <c r="E125" s="472"/>
      <c r="F125" s="472"/>
      <c r="G125" s="472"/>
      <c r="H125" s="473"/>
      <c r="I125" s="160"/>
      <c r="J125" s="160"/>
    </row>
    <row r="126" spans="1:10" ht="15.75" customHeight="1" x14ac:dyDescent="0.45">
      <c r="A126" s="158">
        <f t="shared" si="10"/>
        <v>124</v>
      </c>
      <c r="B126" s="474"/>
      <c r="C126" s="117" t="s">
        <v>22</v>
      </c>
      <c r="D126" s="117" t="s">
        <v>38</v>
      </c>
      <c r="E126" s="117" t="s">
        <v>39</v>
      </c>
      <c r="F126" s="117" t="s">
        <v>23</v>
      </c>
      <c r="G126" s="117" t="s">
        <v>24</v>
      </c>
      <c r="H126" s="117" t="s">
        <v>25</v>
      </c>
      <c r="I126" s="160"/>
      <c r="J126" s="160"/>
    </row>
    <row r="127" spans="1:10" ht="15.75" customHeight="1" x14ac:dyDescent="0.45">
      <c r="A127" s="158">
        <f t="shared" si="10"/>
        <v>125</v>
      </c>
      <c r="B127" s="272"/>
      <c r="C127" s="475"/>
      <c r="D127" s="476"/>
      <c r="E127" s="475"/>
      <c r="F127" s="475"/>
      <c r="G127" s="475"/>
      <c r="H127" s="477" t="s">
        <v>201</v>
      </c>
      <c r="I127" s="160"/>
      <c r="J127" s="160"/>
    </row>
    <row r="128" spans="1:10" ht="15.75" customHeight="1" x14ac:dyDescent="0.45">
      <c r="A128" s="158">
        <f t="shared" si="10"/>
        <v>126</v>
      </c>
      <c r="B128" s="478" t="s">
        <v>202</v>
      </c>
      <c r="C128" s="479"/>
      <c r="D128" s="479"/>
      <c r="E128" s="479"/>
      <c r="F128" s="479"/>
      <c r="G128" s="479"/>
      <c r="H128" s="479"/>
      <c r="I128" s="160"/>
      <c r="J128" s="160"/>
    </row>
    <row r="129" spans="1:10" ht="15.75" customHeight="1" x14ac:dyDescent="0.45">
      <c r="A129" s="158">
        <f t="shared" si="10"/>
        <v>127</v>
      </c>
      <c r="B129" s="480" t="s">
        <v>203</v>
      </c>
      <c r="C129" s="481">
        <v>4</v>
      </c>
      <c r="D129" s="481">
        <v>2</v>
      </c>
      <c r="E129" s="481">
        <v>6</v>
      </c>
      <c r="F129" s="481">
        <v>1.4</v>
      </c>
      <c r="G129" s="482">
        <f>2.70833333333333</f>
        <v>2.7083333333333299</v>
      </c>
      <c r="H129" s="481">
        <v>4.5</v>
      </c>
      <c r="I129" s="160"/>
      <c r="J129" s="160"/>
    </row>
    <row r="130" spans="1:10" ht="15.75" customHeight="1" x14ac:dyDescent="0.45">
      <c r="A130" s="158">
        <f t="shared" si="10"/>
        <v>128</v>
      </c>
      <c r="B130" s="480" t="s">
        <v>204</v>
      </c>
      <c r="C130" s="481">
        <v>4</v>
      </c>
      <c r="D130" s="481">
        <v>2</v>
      </c>
      <c r="E130" s="481">
        <v>5</v>
      </c>
      <c r="F130" s="481">
        <v>1</v>
      </c>
      <c r="G130" s="482">
        <f>2.82608695652174</f>
        <v>2.8260869565217401</v>
      </c>
      <c r="H130" s="481">
        <v>4.5</v>
      </c>
      <c r="I130" s="160"/>
      <c r="J130" s="160"/>
    </row>
    <row r="131" spans="1:10" ht="15.75" customHeight="1" x14ac:dyDescent="0.45">
      <c r="A131" s="158">
        <f t="shared" si="10"/>
        <v>129</v>
      </c>
      <c r="B131" s="480" t="s">
        <v>205</v>
      </c>
      <c r="C131" s="481">
        <v>6</v>
      </c>
      <c r="D131" s="481">
        <v>2.8</v>
      </c>
      <c r="E131" s="481">
        <v>5.3</v>
      </c>
      <c r="F131" s="481">
        <v>1.4</v>
      </c>
      <c r="G131" s="482">
        <f>2.24137931034483</f>
        <v>2.2413793103448301</v>
      </c>
      <c r="H131" s="481">
        <v>2.5</v>
      </c>
      <c r="I131" s="160"/>
      <c r="J131" s="160"/>
    </row>
    <row r="132" spans="1:10" ht="15.75" customHeight="1" x14ac:dyDescent="0.45">
      <c r="A132" s="158">
        <f t="shared" si="10"/>
        <v>130</v>
      </c>
      <c r="B132" s="480" t="s">
        <v>206</v>
      </c>
      <c r="C132" s="481">
        <v>8</v>
      </c>
      <c r="D132" s="481">
        <v>2.2999999999999998</v>
      </c>
      <c r="E132" s="481">
        <v>6.7</v>
      </c>
      <c r="F132" s="481">
        <v>1.8</v>
      </c>
      <c r="G132" s="482">
        <f>1.80555555555556</f>
        <v>1.80555555555556</v>
      </c>
      <c r="H132" s="481">
        <v>3.3</v>
      </c>
      <c r="I132" s="160"/>
      <c r="J132" s="160"/>
    </row>
    <row r="133" spans="1:10" ht="15.75" customHeight="1" x14ac:dyDescent="0.45">
      <c r="A133" s="158">
        <f t="shared" si="10"/>
        <v>131</v>
      </c>
      <c r="B133" s="480" t="s">
        <v>207</v>
      </c>
      <c r="C133" s="481">
        <f>5.5</f>
        <v>5.5</v>
      </c>
      <c r="D133" s="481">
        <v>7.5</v>
      </c>
      <c r="E133" s="481">
        <v>5</v>
      </c>
      <c r="F133" s="481">
        <v>2</v>
      </c>
      <c r="G133" s="482">
        <f>3.25</f>
        <v>3.25</v>
      </c>
      <c r="H133" s="481">
        <v>4</v>
      </c>
      <c r="I133" s="160"/>
      <c r="J133" s="160"/>
    </row>
    <row r="134" spans="1:10" ht="15.75" customHeight="1" x14ac:dyDescent="0.45">
      <c r="A134" s="158">
        <f t="shared" si="10"/>
        <v>132</v>
      </c>
      <c r="B134" s="480" t="s">
        <v>208</v>
      </c>
      <c r="C134" s="481">
        <v>17</v>
      </c>
      <c r="D134" s="481">
        <v>16</v>
      </c>
      <c r="E134" s="481">
        <v>9</v>
      </c>
      <c r="F134" s="481">
        <v>6</v>
      </c>
      <c r="G134" s="482">
        <f>1.47727272727273</f>
        <v>1.47727272727273</v>
      </c>
      <c r="H134" s="481">
        <v>20</v>
      </c>
      <c r="I134" s="160"/>
      <c r="J134" s="160"/>
    </row>
    <row r="135" spans="1:10" ht="15.75" customHeight="1" x14ac:dyDescent="0.45">
      <c r="A135" s="158">
        <f t="shared" ref="A135:A150" si="11">A134+1</f>
        <v>133</v>
      </c>
      <c r="B135" s="483" t="s">
        <v>209</v>
      </c>
      <c r="C135" s="484">
        <v>8</v>
      </c>
      <c r="D135" s="484">
        <v>10</v>
      </c>
      <c r="E135" s="484">
        <v>8</v>
      </c>
      <c r="F135" s="484">
        <v>4</v>
      </c>
      <c r="G135" s="485">
        <f>1.625</f>
        <v>1.625</v>
      </c>
      <c r="H135" s="484">
        <v>13</v>
      </c>
      <c r="I135" s="160"/>
      <c r="J135" s="160"/>
    </row>
    <row r="136" spans="1:10" ht="15.75" customHeight="1" x14ac:dyDescent="0.45">
      <c r="A136" s="158">
        <f t="shared" si="11"/>
        <v>134</v>
      </c>
      <c r="B136" s="474" t="s">
        <v>210</v>
      </c>
      <c r="C136" s="486"/>
      <c r="D136" s="486"/>
      <c r="E136" s="486"/>
      <c r="F136" s="486"/>
      <c r="G136" s="487"/>
      <c r="H136" s="486"/>
      <c r="I136" s="160"/>
      <c r="J136" s="160"/>
    </row>
    <row r="137" spans="1:10" ht="15.75" customHeight="1" x14ac:dyDescent="0.45">
      <c r="A137" s="158">
        <f t="shared" si="11"/>
        <v>135</v>
      </c>
      <c r="B137" s="480" t="s">
        <v>203</v>
      </c>
      <c r="C137" s="481">
        <v>5</v>
      </c>
      <c r="D137" s="481">
        <v>2.5</v>
      </c>
      <c r="E137" s="481">
        <v>6.5</v>
      </c>
      <c r="F137" s="481">
        <v>1.8</v>
      </c>
      <c r="G137" s="482">
        <v>2.6</v>
      </c>
      <c r="H137" s="481">
        <v>6</v>
      </c>
      <c r="I137" s="160"/>
      <c r="J137" s="160"/>
    </row>
    <row r="138" spans="1:10" ht="15.75" customHeight="1" x14ac:dyDescent="0.45">
      <c r="A138" s="158">
        <f t="shared" si="11"/>
        <v>136</v>
      </c>
      <c r="B138" s="480" t="s">
        <v>211</v>
      </c>
      <c r="C138" s="481">
        <v>6</v>
      </c>
      <c r="D138" s="481">
        <v>3.2</v>
      </c>
      <c r="E138" s="481">
        <v>7</v>
      </c>
      <c r="F138" s="481">
        <v>2.2000000000000002</v>
      </c>
      <c r="G138" s="482">
        <v>0</v>
      </c>
      <c r="H138" s="481">
        <v>6.4</v>
      </c>
      <c r="I138" s="160"/>
      <c r="J138" s="160"/>
    </row>
    <row r="139" spans="1:10" ht="15.75" customHeight="1" x14ac:dyDescent="0.45">
      <c r="A139" s="158">
        <f t="shared" si="11"/>
        <v>137</v>
      </c>
      <c r="B139" s="480" t="s">
        <v>212</v>
      </c>
      <c r="C139" s="481">
        <v>30</v>
      </c>
      <c r="D139" s="481">
        <v>22.5</v>
      </c>
      <c r="E139" s="481">
        <v>15</v>
      </c>
      <c r="F139" s="481">
        <v>5</v>
      </c>
      <c r="G139" s="482">
        <v>0</v>
      </c>
      <c r="H139" s="481">
        <v>17.5</v>
      </c>
      <c r="I139" s="160"/>
      <c r="J139" s="160"/>
    </row>
    <row r="140" spans="1:10" ht="15.75" customHeight="1" x14ac:dyDescent="0.45">
      <c r="A140" s="158">
        <f t="shared" si="11"/>
        <v>138</v>
      </c>
      <c r="B140" s="480" t="s">
        <v>213</v>
      </c>
      <c r="C140" s="481">
        <v>6.5</v>
      </c>
      <c r="D140" s="481">
        <v>3</v>
      </c>
      <c r="E140" s="481">
        <v>6.3</v>
      </c>
      <c r="F140" s="481">
        <v>7</v>
      </c>
      <c r="G140" s="482">
        <v>2.6</v>
      </c>
      <c r="H140" s="481">
        <v>12</v>
      </c>
      <c r="I140" s="160"/>
      <c r="J140" s="160"/>
    </row>
    <row r="141" spans="1:10" ht="15.75" customHeight="1" x14ac:dyDescent="0.45">
      <c r="A141" s="158">
        <f t="shared" si="11"/>
        <v>139</v>
      </c>
      <c r="B141" s="480" t="s">
        <v>214</v>
      </c>
      <c r="C141" s="481">
        <v>34</v>
      </c>
      <c r="D141" s="481">
        <v>13</v>
      </c>
      <c r="E141" s="481">
        <v>32</v>
      </c>
      <c r="F141" s="481">
        <v>8</v>
      </c>
      <c r="G141" s="482">
        <v>2.6</v>
      </c>
      <c r="H141" s="481">
        <v>14</v>
      </c>
      <c r="I141" s="160"/>
      <c r="J141" s="160"/>
    </row>
    <row r="142" spans="1:10" ht="15.75" customHeight="1" x14ac:dyDescent="0.45">
      <c r="A142" s="158">
        <f t="shared" si="11"/>
        <v>140</v>
      </c>
      <c r="B142" s="480" t="s">
        <v>215</v>
      </c>
      <c r="C142" s="481">
        <v>43</v>
      </c>
      <c r="D142" s="481">
        <v>44</v>
      </c>
      <c r="E142" s="481">
        <v>23</v>
      </c>
      <c r="F142" s="481">
        <v>7</v>
      </c>
      <c r="G142" s="482">
        <v>1</v>
      </c>
      <c r="H142" s="481">
        <v>38</v>
      </c>
      <c r="I142" s="160"/>
      <c r="J142" s="160"/>
    </row>
    <row r="143" spans="1:10" ht="15.75" customHeight="1" x14ac:dyDescent="0.45">
      <c r="A143" s="158">
        <f t="shared" si="11"/>
        <v>141</v>
      </c>
      <c r="B143" s="480" t="s">
        <v>216</v>
      </c>
      <c r="C143" s="481">
        <v>4</v>
      </c>
      <c r="D143" s="481">
        <v>2</v>
      </c>
      <c r="E143" s="481">
        <v>2</v>
      </c>
      <c r="F143" s="481">
        <v>4</v>
      </c>
      <c r="G143" s="482">
        <f>0.928571428571429</f>
        <v>0.92857142857142905</v>
      </c>
      <c r="H143" s="481">
        <v>29</v>
      </c>
      <c r="I143" s="160"/>
      <c r="J143" s="160"/>
    </row>
    <row r="144" spans="1:10" ht="15.75" customHeight="1" x14ac:dyDescent="0.45">
      <c r="A144" s="158">
        <f t="shared" si="11"/>
        <v>142</v>
      </c>
      <c r="B144" s="480" t="s">
        <v>217</v>
      </c>
      <c r="C144" s="481">
        <v>4</v>
      </c>
      <c r="D144" s="481">
        <v>10</v>
      </c>
      <c r="E144" s="481">
        <v>4</v>
      </c>
      <c r="F144" s="488">
        <v>0</v>
      </c>
      <c r="G144" s="482">
        <f>0.928571428571429</f>
        <v>0.92857142857142905</v>
      </c>
      <c r="H144" s="481">
        <v>9</v>
      </c>
      <c r="I144" s="160"/>
      <c r="J144" s="160"/>
    </row>
    <row r="145" spans="1:10" ht="15.75" customHeight="1" x14ac:dyDescent="0.45">
      <c r="A145" s="158">
        <f t="shared" si="11"/>
        <v>143</v>
      </c>
      <c r="B145" s="480" t="s">
        <v>218</v>
      </c>
      <c r="C145" s="481">
        <v>1.2</v>
      </c>
      <c r="D145" s="481">
        <v>20</v>
      </c>
      <c r="E145" s="481">
        <v>0.3</v>
      </c>
      <c r="F145" s="481">
        <v>2.8</v>
      </c>
      <c r="G145" s="482"/>
      <c r="H145" s="481">
        <v>26</v>
      </c>
      <c r="I145" s="160"/>
      <c r="J145" s="160">
        <v>-80</v>
      </c>
    </row>
    <row r="146" spans="1:10" ht="15.75" customHeight="1" x14ac:dyDescent="0.45">
      <c r="A146" s="158">
        <f t="shared" si="11"/>
        <v>144</v>
      </c>
      <c r="B146" s="483" t="s">
        <v>219</v>
      </c>
      <c r="C146" s="484">
        <v>4</v>
      </c>
      <c r="D146" s="484">
        <v>4</v>
      </c>
      <c r="E146" s="484">
        <v>10</v>
      </c>
      <c r="F146" s="484">
        <v>8</v>
      </c>
      <c r="G146" s="485">
        <f>0.8125</f>
        <v>0.8125</v>
      </c>
      <c r="H146" s="484">
        <v>123</v>
      </c>
      <c r="I146" s="160"/>
      <c r="J146" s="160"/>
    </row>
    <row r="147" spans="1:10" ht="15.75" customHeight="1" x14ac:dyDescent="0.45">
      <c r="A147" s="158">
        <f t="shared" si="11"/>
        <v>145</v>
      </c>
      <c r="B147" s="148"/>
      <c r="C147" s="151" t="s">
        <v>220</v>
      </c>
      <c r="D147" s="472"/>
      <c r="E147" s="472"/>
      <c r="F147" s="472"/>
      <c r="G147" s="472"/>
      <c r="H147" s="473"/>
      <c r="I147" s="160"/>
      <c r="J147" s="160"/>
    </row>
    <row r="148" spans="1:10" ht="15.75" customHeight="1" x14ac:dyDescent="0.45">
      <c r="A148" s="158">
        <f t="shared" si="11"/>
        <v>146</v>
      </c>
      <c r="B148" s="117"/>
      <c r="C148" s="117" t="s">
        <v>22</v>
      </c>
      <c r="D148" s="117" t="s">
        <v>38</v>
      </c>
      <c r="E148" s="117" t="s">
        <v>39</v>
      </c>
      <c r="F148" s="117" t="s">
        <v>23</v>
      </c>
      <c r="G148" s="117" t="s">
        <v>24</v>
      </c>
      <c r="H148" s="117" t="s">
        <v>25</v>
      </c>
      <c r="I148" s="160"/>
      <c r="J148" s="160"/>
    </row>
    <row r="149" spans="1:10" ht="15.75" customHeight="1" x14ac:dyDescent="0.45">
      <c r="A149" s="158">
        <f t="shared" si="11"/>
        <v>147</v>
      </c>
      <c r="B149" s="147"/>
      <c r="C149" s="117"/>
      <c r="D149" s="117"/>
      <c r="E149" s="117"/>
      <c r="F149" s="117"/>
      <c r="G149" s="117"/>
      <c r="H149" s="147" t="s">
        <v>201</v>
      </c>
      <c r="I149" s="160"/>
      <c r="J149" s="160"/>
    </row>
    <row r="150" spans="1:10" ht="15.75" customHeight="1" x14ac:dyDescent="0.45">
      <c r="A150" s="158">
        <f t="shared" si="11"/>
        <v>148</v>
      </c>
      <c r="B150" s="489" t="s">
        <v>221</v>
      </c>
      <c r="C150" s="486"/>
      <c r="D150" s="486"/>
      <c r="E150" s="486"/>
      <c r="F150" s="486"/>
      <c r="G150" s="487"/>
      <c r="H150" s="486"/>
      <c r="I150" s="160"/>
      <c r="J150" s="160"/>
    </row>
    <row r="151" spans="1:10" ht="15.75" customHeight="1" x14ac:dyDescent="0.45">
      <c r="A151" s="158">
        <f t="shared" ref="A151:A166" si="12">A150+1</f>
        <v>149</v>
      </c>
      <c r="B151" s="490" t="s">
        <v>222</v>
      </c>
      <c r="C151" s="481">
        <v>2</v>
      </c>
      <c r="D151" s="481">
        <v>2</v>
      </c>
      <c r="E151" s="481">
        <v>5.5</v>
      </c>
      <c r="F151" s="481">
        <v>0.8</v>
      </c>
      <c r="G151" s="482">
        <v>1</v>
      </c>
      <c r="H151" s="481"/>
      <c r="I151" s="160"/>
      <c r="J151" s="160">
        <v>5.4</v>
      </c>
    </row>
    <row r="152" spans="1:10" ht="15.75" customHeight="1" x14ac:dyDescent="0.45">
      <c r="A152" s="158">
        <f t="shared" si="12"/>
        <v>150</v>
      </c>
      <c r="B152" s="490" t="s">
        <v>223</v>
      </c>
      <c r="C152" s="481">
        <v>2.5</v>
      </c>
      <c r="D152" s="481">
        <v>3.3</v>
      </c>
      <c r="E152" s="481">
        <v>3.3</v>
      </c>
      <c r="F152" s="481">
        <v>1</v>
      </c>
      <c r="G152" s="482">
        <v>1</v>
      </c>
      <c r="H152" s="481"/>
      <c r="I152" s="160"/>
      <c r="J152" s="160">
        <v>5.85</v>
      </c>
    </row>
    <row r="153" spans="1:10" ht="15.75" customHeight="1" x14ac:dyDescent="0.45">
      <c r="A153" s="158">
        <f t="shared" si="12"/>
        <v>151</v>
      </c>
      <c r="B153" s="490" t="s">
        <v>224</v>
      </c>
      <c r="C153" s="481">
        <v>8.6999999999999993</v>
      </c>
      <c r="D153" s="481">
        <v>7.3</v>
      </c>
      <c r="E153" s="481">
        <v>5.0999999999999996</v>
      </c>
      <c r="F153" s="481">
        <v>1.7</v>
      </c>
      <c r="G153" s="482">
        <v>1</v>
      </c>
      <c r="H153" s="481">
        <v>16</v>
      </c>
      <c r="I153" s="160"/>
      <c r="J153" s="160"/>
    </row>
    <row r="154" spans="1:10" ht="15.75" customHeight="1" x14ac:dyDescent="0.45">
      <c r="A154" s="158">
        <f t="shared" si="12"/>
        <v>152</v>
      </c>
      <c r="B154" s="490" t="s">
        <v>225</v>
      </c>
      <c r="C154" s="481">
        <v>28</v>
      </c>
      <c r="D154" s="481">
        <v>26</v>
      </c>
      <c r="E154" s="481">
        <v>18</v>
      </c>
      <c r="F154" s="481">
        <v>6</v>
      </c>
      <c r="G154" s="482">
        <v>1</v>
      </c>
      <c r="H154" s="481">
        <v>43</v>
      </c>
      <c r="I154" s="160"/>
      <c r="J154" s="160">
        <v>44</v>
      </c>
    </row>
    <row r="155" spans="1:10" ht="15.75" customHeight="1" x14ac:dyDescent="0.45">
      <c r="A155" s="161">
        <f t="shared" si="12"/>
        <v>153</v>
      </c>
      <c r="B155" s="483"/>
      <c r="C155" s="484"/>
      <c r="D155" s="484"/>
      <c r="E155" s="484"/>
      <c r="F155" s="484"/>
      <c r="G155" s="491"/>
      <c r="H155" s="484"/>
      <c r="I155" s="160"/>
      <c r="J155" s="160"/>
    </row>
    <row r="156" spans="1:10" ht="15.75" customHeight="1" x14ac:dyDescent="0.45">
      <c r="A156" s="320">
        <f t="shared" si="12"/>
        <v>154</v>
      </c>
      <c r="B156" s="307" t="s">
        <v>226</v>
      </c>
      <c r="C156" s="302"/>
      <c r="D156" s="302"/>
      <c r="E156" s="302"/>
      <c r="F156" s="302"/>
      <c r="G156" s="302"/>
      <c r="H156" s="302"/>
      <c r="I156" s="302"/>
      <c r="J156" s="303"/>
    </row>
    <row r="157" spans="1:10" ht="15.75" customHeight="1" x14ac:dyDescent="0.45">
      <c r="A157" s="321">
        <f t="shared" si="12"/>
        <v>155</v>
      </c>
      <c r="B157" s="307"/>
      <c r="C157" s="302"/>
      <c r="D157" s="302"/>
      <c r="E157" s="302"/>
      <c r="F157" s="302"/>
      <c r="G157" s="302"/>
      <c r="H157" s="302"/>
      <c r="I157" s="302"/>
      <c r="J157" s="303"/>
    </row>
    <row r="158" spans="1:10" ht="15.75" customHeight="1" x14ac:dyDescent="0.45">
      <c r="A158" s="158">
        <f t="shared" si="12"/>
        <v>156</v>
      </c>
      <c r="B158" s="164"/>
      <c r="C158" s="159"/>
      <c r="D158" s="159"/>
      <c r="E158" s="159"/>
      <c r="F158" s="159"/>
      <c r="G158" s="159"/>
      <c r="H158" s="159"/>
      <c r="I158" s="159"/>
      <c r="J158" s="159"/>
    </row>
    <row r="159" spans="1:10" ht="15.75" customHeight="1" x14ac:dyDescent="0.45">
      <c r="A159" s="158">
        <f t="shared" si="12"/>
        <v>157</v>
      </c>
      <c r="B159" s="164"/>
      <c r="C159" s="159"/>
      <c r="D159" s="159"/>
      <c r="E159" s="159"/>
      <c r="F159" s="159"/>
      <c r="G159" s="159"/>
      <c r="H159" s="159"/>
      <c r="I159" s="159"/>
      <c r="J159" s="159"/>
    </row>
    <row r="160" spans="1:10" ht="15.75" customHeight="1" x14ac:dyDescent="0.45">
      <c r="A160" s="158">
        <f t="shared" si="12"/>
        <v>158</v>
      </c>
      <c r="B160" s="164"/>
      <c r="C160" s="159"/>
      <c r="D160" s="159"/>
      <c r="E160" s="159"/>
      <c r="F160" s="159"/>
      <c r="G160" s="159"/>
      <c r="H160" s="159"/>
      <c r="I160" s="159"/>
      <c r="J160" s="159"/>
    </row>
    <row r="161" spans="1:10" ht="15.75" customHeight="1" x14ac:dyDescent="0.45">
      <c r="A161" s="158">
        <f t="shared" si="12"/>
        <v>159</v>
      </c>
      <c r="B161" s="164"/>
      <c r="C161" s="159"/>
      <c r="D161" s="159"/>
      <c r="E161" s="159"/>
      <c r="F161" s="159"/>
      <c r="G161" s="159"/>
      <c r="H161" s="159"/>
      <c r="I161" s="159"/>
      <c r="J161" s="159"/>
    </row>
    <row r="162" spans="1:10" ht="15.75" customHeight="1" x14ac:dyDescent="0.45">
      <c r="A162" s="158">
        <f t="shared" si="12"/>
        <v>160</v>
      </c>
      <c r="B162" s="164"/>
      <c r="C162" s="159"/>
      <c r="D162" s="159"/>
      <c r="E162" s="159"/>
      <c r="F162" s="159"/>
      <c r="G162" s="159"/>
      <c r="H162" s="159"/>
      <c r="I162" s="159"/>
      <c r="J162" s="159"/>
    </row>
    <row r="163" spans="1:10" ht="15.75" customHeight="1" x14ac:dyDescent="0.45">
      <c r="A163" s="158">
        <f t="shared" si="12"/>
        <v>161</v>
      </c>
      <c r="B163" s="164"/>
      <c r="C163" s="159"/>
      <c r="D163" s="159"/>
      <c r="E163" s="159"/>
      <c r="F163" s="159"/>
      <c r="G163" s="159"/>
      <c r="H163" s="159"/>
      <c r="I163" s="159"/>
      <c r="J163" s="159"/>
    </row>
    <row r="164" spans="1:10" ht="15.75" customHeight="1" x14ac:dyDescent="0.45">
      <c r="A164" s="158">
        <f t="shared" si="12"/>
        <v>162</v>
      </c>
      <c r="B164" s="164"/>
      <c r="C164" s="159"/>
      <c r="D164" s="159"/>
      <c r="E164" s="159"/>
      <c r="F164" s="159"/>
      <c r="G164" s="159"/>
      <c r="H164" s="159"/>
      <c r="I164" s="159"/>
      <c r="J164" s="159"/>
    </row>
    <row r="165" spans="1:10" ht="15.75" customHeight="1" x14ac:dyDescent="0.45">
      <c r="A165" s="158">
        <f t="shared" si="12"/>
        <v>163</v>
      </c>
      <c r="B165" s="164"/>
      <c r="C165" s="159"/>
      <c r="D165" s="159"/>
      <c r="E165" s="159"/>
      <c r="F165" s="159"/>
      <c r="G165" s="159"/>
      <c r="H165" s="159"/>
      <c r="I165" s="159"/>
      <c r="J165" s="159"/>
    </row>
    <row r="166" spans="1:10" ht="15.75" customHeight="1" x14ac:dyDescent="0.45">
      <c r="A166" s="158">
        <f t="shared" si="12"/>
        <v>164</v>
      </c>
      <c r="B166" s="164"/>
      <c r="C166" s="159"/>
      <c r="D166" s="159"/>
      <c r="E166" s="159"/>
      <c r="F166" s="159"/>
      <c r="G166" s="159"/>
      <c r="H166" s="159"/>
      <c r="I166" s="159"/>
      <c r="J166" s="159"/>
    </row>
    <row r="167" spans="1:10" ht="15.75" customHeight="1" x14ac:dyDescent="0.45">
      <c r="A167" s="158">
        <f t="shared" ref="A167:A182" si="13">A166+1</f>
        <v>165</v>
      </c>
      <c r="B167" s="164"/>
      <c r="C167" s="159"/>
      <c r="D167" s="159"/>
      <c r="E167" s="159"/>
      <c r="F167" s="159"/>
      <c r="G167" s="159"/>
      <c r="H167" s="159"/>
      <c r="I167" s="159"/>
      <c r="J167" s="159"/>
    </row>
    <row r="168" spans="1:10" ht="15.75" customHeight="1" x14ac:dyDescent="0.45">
      <c r="A168" s="158">
        <f t="shared" si="13"/>
        <v>166</v>
      </c>
      <c r="B168" s="164"/>
      <c r="C168" s="159"/>
      <c r="D168" s="159"/>
      <c r="E168" s="159"/>
      <c r="F168" s="159"/>
      <c r="G168" s="159"/>
      <c r="H168" s="159"/>
      <c r="I168" s="159"/>
      <c r="J168" s="159"/>
    </row>
    <row r="169" spans="1:10" ht="15.75" customHeight="1" x14ac:dyDescent="0.45">
      <c r="A169" s="158">
        <f t="shared" si="13"/>
        <v>167</v>
      </c>
      <c r="B169" s="164"/>
      <c r="C169" s="159"/>
      <c r="D169" s="159"/>
      <c r="E169" s="159"/>
      <c r="F169" s="159"/>
      <c r="G169" s="159"/>
      <c r="H169" s="159"/>
      <c r="I169" s="159"/>
      <c r="J169" s="159"/>
    </row>
    <row r="170" spans="1:10" ht="15.75" customHeight="1" x14ac:dyDescent="0.45">
      <c r="A170" s="158">
        <f t="shared" si="13"/>
        <v>168</v>
      </c>
      <c r="B170" s="164"/>
      <c r="C170" s="159"/>
      <c r="D170" s="159"/>
      <c r="E170" s="159"/>
      <c r="F170" s="159"/>
      <c r="G170" s="159"/>
      <c r="H170" s="159"/>
      <c r="I170" s="159"/>
      <c r="J170" s="159"/>
    </row>
    <row r="171" spans="1:10" ht="15.75" customHeight="1" x14ac:dyDescent="0.45">
      <c r="A171" s="158">
        <f t="shared" si="13"/>
        <v>169</v>
      </c>
      <c r="B171" s="164"/>
      <c r="C171" s="159"/>
      <c r="D171" s="159"/>
      <c r="E171" s="159"/>
      <c r="F171" s="159"/>
      <c r="G171" s="159"/>
      <c r="H171" s="159"/>
      <c r="I171" s="159"/>
      <c r="J171" s="159"/>
    </row>
    <row r="172" spans="1:10" ht="15.75" customHeight="1" x14ac:dyDescent="0.45">
      <c r="A172" s="158">
        <f t="shared" si="13"/>
        <v>170</v>
      </c>
      <c r="B172" s="164"/>
      <c r="C172" s="159"/>
      <c r="D172" s="159"/>
      <c r="E172" s="159"/>
      <c r="F172" s="159"/>
      <c r="G172" s="159"/>
      <c r="H172" s="159"/>
      <c r="I172" s="159"/>
      <c r="J172" s="159"/>
    </row>
    <row r="173" spans="1:10" ht="15.75" customHeight="1" x14ac:dyDescent="0.45">
      <c r="A173" s="158">
        <f t="shared" si="13"/>
        <v>171</v>
      </c>
      <c r="B173" s="164"/>
      <c r="C173" s="159"/>
      <c r="D173" s="159"/>
      <c r="E173" s="159"/>
      <c r="F173" s="159"/>
      <c r="G173" s="159"/>
      <c r="H173" s="159"/>
      <c r="I173" s="159"/>
      <c r="J173" s="159"/>
    </row>
    <row r="174" spans="1:10" ht="15.75" customHeight="1" x14ac:dyDescent="0.45">
      <c r="A174" s="158">
        <f t="shared" si="13"/>
        <v>172</v>
      </c>
      <c r="B174" s="164"/>
      <c r="C174" s="159"/>
      <c r="D174" s="159"/>
      <c r="E174" s="159"/>
      <c r="F174" s="159"/>
      <c r="G174" s="159"/>
      <c r="H174" s="159"/>
      <c r="I174" s="159"/>
      <c r="J174" s="159"/>
    </row>
    <row r="175" spans="1:10" ht="15.75" customHeight="1" x14ac:dyDescent="0.45">
      <c r="A175" s="158">
        <f t="shared" si="13"/>
        <v>173</v>
      </c>
      <c r="B175" s="164"/>
      <c r="C175" s="159"/>
      <c r="D175" s="159"/>
      <c r="E175" s="159"/>
      <c r="F175" s="159"/>
      <c r="G175" s="159"/>
      <c r="H175" s="159"/>
      <c r="I175" s="159"/>
      <c r="J175" s="159"/>
    </row>
    <row r="176" spans="1:10" ht="15.75" customHeight="1" x14ac:dyDescent="0.45">
      <c r="A176" s="158">
        <f t="shared" si="13"/>
        <v>174</v>
      </c>
      <c r="B176" s="164"/>
      <c r="C176" s="159"/>
      <c r="D176" s="159"/>
      <c r="E176" s="159"/>
      <c r="F176" s="159"/>
      <c r="G176" s="159"/>
      <c r="H176" s="159"/>
      <c r="I176" s="159"/>
      <c r="J176" s="159"/>
    </row>
    <row r="177" spans="1:10" ht="15.75" customHeight="1" x14ac:dyDescent="0.45">
      <c r="A177" s="158">
        <f t="shared" si="13"/>
        <v>175</v>
      </c>
      <c r="B177" s="164"/>
      <c r="C177" s="159"/>
      <c r="D177" s="159"/>
      <c r="E177" s="159"/>
      <c r="F177" s="159"/>
      <c r="G177" s="159"/>
      <c r="H177" s="159"/>
      <c r="I177" s="159"/>
      <c r="J177" s="159"/>
    </row>
    <row r="178" spans="1:10" ht="15.75" customHeight="1" x14ac:dyDescent="0.45">
      <c r="A178" s="158">
        <f t="shared" si="13"/>
        <v>176</v>
      </c>
      <c r="B178" s="164"/>
      <c r="C178" s="159"/>
      <c r="D178" s="159"/>
      <c r="E178" s="159"/>
      <c r="F178" s="159"/>
      <c r="G178" s="159"/>
      <c r="H178" s="159"/>
      <c r="I178" s="159"/>
      <c r="J178" s="159"/>
    </row>
    <row r="179" spans="1:10" ht="15.75" customHeight="1" x14ac:dyDescent="0.45">
      <c r="A179" s="158">
        <f t="shared" si="13"/>
        <v>177</v>
      </c>
      <c r="B179" s="164"/>
      <c r="C179" s="159"/>
      <c r="D179" s="159"/>
      <c r="E179" s="159"/>
      <c r="F179" s="159"/>
      <c r="G179" s="159"/>
      <c r="H179" s="159"/>
      <c r="I179" s="159"/>
      <c r="J179" s="159"/>
    </row>
    <row r="180" spans="1:10" ht="15.75" customHeight="1" x14ac:dyDescent="0.45">
      <c r="A180" s="158">
        <f t="shared" si="13"/>
        <v>178</v>
      </c>
      <c r="B180" s="164"/>
      <c r="C180" s="159"/>
      <c r="D180" s="159"/>
      <c r="E180" s="159"/>
      <c r="F180" s="159"/>
      <c r="G180" s="159"/>
      <c r="H180" s="159"/>
      <c r="I180" s="159"/>
      <c r="J180" s="159"/>
    </row>
    <row r="181" spans="1:10" ht="15.75" customHeight="1" x14ac:dyDescent="0.45">
      <c r="A181" s="158">
        <f t="shared" si="13"/>
        <v>179</v>
      </c>
      <c r="B181" s="164"/>
      <c r="C181" s="159"/>
      <c r="D181" s="159"/>
      <c r="E181" s="159"/>
      <c r="F181" s="159"/>
      <c r="G181" s="159"/>
      <c r="H181" s="159"/>
      <c r="I181" s="159"/>
      <c r="J181" s="159"/>
    </row>
    <row r="182" spans="1:10" ht="15.75" customHeight="1" x14ac:dyDescent="0.45">
      <c r="A182" s="158">
        <f t="shared" si="13"/>
        <v>180</v>
      </c>
      <c r="B182" s="164"/>
      <c r="C182" s="159"/>
      <c r="D182" s="159"/>
      <c r="E182" s="159"/>
      <c r="F182" s="159"/>
      <c r="G182" s="159"/>
      <c r="H182" s="159"/>
      <c r="I182" s="159"/>
      <c r="J182" s="159"/>
    </row>
    <row r="183" spans="1:10" ht="15.75" customHeight="1" x14ac:dyDescent="0.45">
      <c r="A183" s="158">
        <f t="shared" ref="A183:A198" si="14">A182+1</f>
        <v>181</v>
      </c>
      <c r="B183" s="164"/>
      <c r="C183" s="159"/>
      <c r="D183" s="159"/>
      <c r="E183" s="159"/>
      <c r="F183" s="159"/>
      <c r="G183" s="159"/>
      <c r="H183" s="159"/>
      <c r="I183" s="159"/>
      <c r="J183" s="159"/>
    </row>
    <row r="184" spans="1:10" ht="15.75" customHeight="1" x14ac:dyDescent="0.45">
      <c r="A184" s="158">
        <f t="shared" si="14"/>
        <v>182</v>
      </c>
      <c r="B184" s="164"/>
      <c r="C184" s="159"/>
      <c r="D184" s="159"/>
      <c r="E184" s="159"/>
      <c r="F184" s="159"/>
      <c r="G184" s="159"/>
      <c r="H184" s="159"/>
      <c r="I184" s="159"/>
      <c r="J184" s="159"/>
    </row>
    <row r="185" spans="1:10" ht="15.75" customHeight="1" x14ac:dyDescent="0.45">
      <c r="A185" s="158">
        <f t="shared" si="14"/>
        <v>183</v>
      </c>
      <c r="B185" s="164"/>
      <c r="C185" s="159"/>
      <c r="D185" s="159"/>
      <c r="E185" s="159"/>
      <c r="F185" s="159"/>
      <c r="G185" s="159"/>
      <c r="H185" s="159"/>
      <c r="I185" s="159"/>
      <c r="J185" s="159"/>
    </row>
    <row r="186" spans="1:10" ht="15.75" customHeight="1" x14ac:dyDescent="0.45">
      <c r="A186" s="158">
        <f t="shared" si="14"/>
        <v>184</v>
      </c>
      <c r="B186" s="164"/>
      <c r="C186" s="159"/>
      <c r="D186" s="159"/>
      <c r="E186" s="159"/>
      <c r="F186" s="159"/>
      <c r="G186" s="159"/>
      <c r="H186" s="159"/>
      <c r="I186" s="159"/>
      <c r="J186" s="159"/>
    </row>
    <row r="187" spans="1:10" ht="15.75" customHeight="1" x14ac:dyDescent="0.45">
      <c r="A187" s="158">
        <f t="shared" si="14"/>
        <v>185</v>
      </c>
      <c r="B187" s="164"/>
      <c r="C187" s="159"/>
      <c r="D187" s="159"/>
      <c r="E187" s="159"/>
      <c r="F187" s="159"/>
      <c r="G187" s="159"/>
      <c r="H187" s="159"/>
      <c r="I187" s="159"/>
      <c r="J187" s="159"/>
    </row>
    <row r="188" spans="1:10" ht="15.75" customHeight="1" x14ac:dyDescent="0.45">
      <c r="A188" s="158">
        <f t="shared" si="14"/>
        <v>186</v>
      </c>
      <c r="B188" s="164"/>
      <c r="C188" s="159"/>
      <c r="D188" s="159"/>
      <c r="E188" s="159"/>
      <c r="F188" s="159"/>
      <c r="G188" s="159"/>
      <c r="H188" s="159"/>
      <c r="I188" s="159"/>
      <c r="J188" s="159"/>
    </row>
    <row r="189" spans="1:10" ht="15.75" customHeight="1" x14ac:dyDescent="0.45">
      <c r="A189" s="158">
        <f t="shared" si="14"/>
        <v>187</v>
      </c>
      <c r="B189" s="164"/>
      <c r="C189" s="159"/>
      <c r="D189" s="159"/>
      <c r="E189" s="159"/>
      <c r="F189" s="159"/>
      <c r="G189" s="159"/>
      <c r="H189" s="159"/>
      <c r="I189" s="159"/>
      <c r="J189" s="159"/>
    </row>
    <row r="190" spans="1:10" ht="15.75" customHeight="1" x14ac:dyDescent="0.45">
      <c r="A190" s="158">
        <f t="shared" si="14"/>
        <v>188</v>
      </c>
      <c r="B190" s="164"/>
      <c r="C190" s="159"/>
      <c r="D190" s="159"/>
      <c r="E190" s="159"/>
      <c r="F190" s="159"/>
      <c r="G190" s="159"/>
      <c r="H190" s="159"/>
      <c r="I190" s="159"/>
      <c r="J190" s="159"/>
    </row>
    <row r="191" spans="1:10" ht="15.75" customHeight="1" x14ac:dyDescent="0.45">
      <c r="A191" s="158">
        <f t="shared" si="14"/>
        <v>189</v>
      </c>
      <c r="B191" s="164"/>
      <c r="C191" s="159"/>
      <c r="D191" s="159"/>
      <c r="E191" s="159"/>
      <c r="F191" s="159"/>
      <c r="G191" s="159"/>
      <c r="H191" s="159"/>
      <c r="I191" s="159"/>
      <c r="J191" s="159"/>
    </row>
    <row r="192" spans="1:10" ht="15.75" customHeight="1" x14ac:dyDescent="0.45">
      <c r="A192" s="158">
        <f t="shared" si="14"/>
        <v>190</v>
      </c>
      <c r="B192" s="164"/>
      <c r="C192" s="159"/>
      <c r="D192" s="159"/>
      <c r="E192" s="159"/>
      <c r="F192" s="159"/>
      <c r="G192" s="159"/>
      <c r="H192" s="159"/>
      <c r="I192" s="159"/>
      <c r="J192" s="159"/>
    </row>
    <row r="193" spans="1:10" ht="15.75" customHeight="1" x14ac:dyDescent="0.45">
      <c r="A193" s="158">
        <f t="shared" si="14"/>
        <v>191</v>
      </c>
      <c r="B193" s="164"/>
      <c r="C193" s="159"/>
      <c r="D193" s="159"/>
      <c r="E193" s="159"/>
      <c r="F193" s="159"/>
      <c r="G193" s="159"/>
      <c r="H193" s="159"/>
      <c r="I193" s="159"/>
      <c r="J193" s="159"/>
    </row>
    <row r="194" spans="1:10" ht="15.75" customHeight="1" x14ac:dyDescent="0.45">
      <c r="A194" s="158">
        <f t="shared" si="14"/>
        <v>192</v>
      </c>
      <c r="B194" s="164"/>
      <c r="C194" s="159"/>
      <c r="D194" s="159"/>
      <c r="E194" s="159"/>
      <c r="F194" s="159"/>
      <c r="G194" s="159"/>
      <c r="H194" s="159"/>
      <c r="I194" s="159"/>
      <c r="J194" s="159"/>
    </row>
    <row r="195" spans="1:10" ht="15.75" customHeight="1" x14ac:dyDescent="0.45">
      <c r="A195" s="158">
        <f t="shared" si="14"/>
        <v>193</v>
      </c>
      <c r="B195" s="164"/>
      <c r="C195" s="159"/>
      <c r="D195" s="159"/>
      <c r="E195" s="159"/>
      <c r="F195" s="159"/>
      <c r="G195" s="159"/>
      <c r="H195" s="159"/>
      <c r="I195" s="159"/>
      <c r="J195" s="159"/>
    </row>
    <row r="196" spans="1:10" ht="15.75" customHeight="1" x14ac:dyDescent="0.45">
      <c r="A196" s="158">
        <f t="shared" si="14"/>
        <v>194</v>
      </c>
      <c r="B196" s="164"/>
      <c r="C196" s="159"/>
      <c r="D196" s="159"/>
      <c r="E196" s="159"/>
      <c r="F196" s="159"/>
      <c r="G196" s="159"/>
      <c r="H196" s="159"/>
      <c r="I196" s="159"/>
      <c r="J196" s="159"/>
    </row>
    <row r="197" spans="1:10" ht="15.75" customHeight="1" x14ac:dyDescent="0.45">
      <c r="A197" s="158">
        <f t="shared" si="14"/>
        <v>195</v>
      </c>
      <c r="B197" s="164"/>
      <c r="C197" s="159"/>
      <c r="D197" s="159"/>
      <c r="E197" s="159"/>
      <c r="F197" s="159"/>
      <c r="G197" s="159"/>
      <c r="H197" s="159"/>
      <c r="I197" s="159"/>
      <c r="J197" s="159"/>
    </row>
    <row r="198" spans="1:10" ht="15.75" customHeight="1" x14ac:dyDescent="0.45">
      <c r="A198" s="158">
        <f t="shared" si="14"/>
        <v>196</v>
      </c>
      <c r="B198" s="164"/>
      <c r="C198" s="159"/>
      <c r="D198" s="159"/>
      <c r="E198" s="159"/>
      <c r="F198" s="159"/>
      <c r="G198" s="159"/>
      <c r="H198" s="159"/>
      <c r="I198" s="159"/>
      <c r="J198" s="159"/>
    </row>
    <row r="199" spans="1:10" ht="15.75" customHeight="1" x14ac:dyDescent="0.45">
      <c r="A199" s="158">
        <f t="shared" ref="A199:A214" si="15">A198+1</f>
        <v>197</v>
      </c>
      <c r="B199" s="164"/>
      <c r="C199" s="159"/>
      <c r="D199" s="159"/>
      <c r="E199" s="159"/>
      <c r="F199" s="159"/>
      <c r="G199" s="159"/>
      <c r="H199" s="159"/>
      <c r="I199" s="159"/>
      <c r="J199" s="159"/>
    </row>
    <row r="200" spans="1:10" ht="15.75" customHeight="1" x14ac:dyDescent="0.45">
      <c r="A200" s="158">
        <f t="shared" si="15"/>
        <v>198</v>
      </c>
      <c r="B200" s="164"/>
      <c r="C200" s="159"/>
      <c r="D200" s="159"/>
      <c r="E200" s="159"/>
      <c r="F200" s="159"/>
      <c r="G200" s="159"/>
      <c r="H200" s="159"/>
      <c r="I200" s="159"/>
      <c r="J200" s="159"/>
    </row>
    <row r="201" spans="1:10" ht="15.75" customHeight="1" x14ac:dyDescent="0.45">
      <c r="A201" s="158">
        <f t="shared" si="15"/>
        <v>199</v>
      </c>
      <c r="B201" s="164"/>
      <c r="C201" s="159"/>
      <c r="D201" s="159"/>
      <c r="E201" s="159"/>
      <c r="F201" s="159"/>
      <c r="G201" s="159"/>
      <c r="H201" s="159"/>
      <c r="I201" s="159"/>
      <c r="J201" s="159"/>
    </row>
    <row r="202" spans="1:10" ht="15.75" customHeight="1" x14ac:dyDescent="0.45">
      <c r="A202" s="158">
        <f t="shared" si="15"/>
        <v>200</v>
      </c>
      <c r="B202" s="164"/>
      <c r="C202" s="159"/>
      <c r="D202" s="159"/>
      <c r="E202" s="159"/>
      <c r="F202" s="159"/>
      <c r="G202" s="159"/>
      <c r="H202" s="159"/>
      <c r="I202" s="159"/>
      <c r="J202" s="159"/>
    </row>
    <row r="203" spans="1:10" ht="15.75" customHeight="1" x14ac:dyDescent="0.45">
      <c r="A203" s="158">
        <f t="shared" si="15"/>
        <v>201</v>
      </c>
      <c r="B203" s="164"/>
      <c r="C203" s="159"/>
      <c r="D203" s="159"/>
      <c r="E203" s="159"/>
      <c r="F203" s="159"/>
      <c r="G203" s="159"/>
      <c r="H203" s="159"/>
      <c r="I203" s="159"/>
      <c r="J203" s="159"/>
    </row>
    <row r="204" spans="1:10" ht="15.75" customHeight="1" x14ac:dyDescent="0.45">
      <c r="A204" s="158">
        <f t="shared" si="15"/>
        <v>202</v>
      </c>
      <c r="B204" s="164"/>
      <c r="C204" s="159"/>
      <c r="D204" s="159"/>
      <c r="E204" s="159"/>
      <c r="F204" s="159"/>
      <c r="G204" s="159"/>
      <c r="H204" s="159"/>
      <c r="I204" s="159"/>
      <c r="J204" s="159"/>
    </row>
    <row r="205" spans="1:10" ht="15.75" customHeight="1" x14ac:dyDescent="0.45">
      <c r="A205" s="158">
        <f t="shared" si="15"/>
        <v>203</v>
      </c>
      <c r="B205" s="164"/>
      <c r="C205" s="159"/>
      <c r="D205" s="159"/>
      <c r="E205" s="159"/>
      <c r="F205" s="159"/>
      <c r="G205" s="159"/>
      <c r="H205" s="159"/>
      <c r="I205" s="159"/>
      <c r="J205" s="159"/>
    </row>
    <row r="206" spans="1:10" ht="15.75" customHeight="1" x14ac:dyDescent="0.45">
      <c r="A206" s="158">
        <f t="shared" si="15"/>
        <v>204</v>
      </c>
      <c r="B206" s="164"/>
      <c r="C206" s="159"/>
      <c r="D206" s="159"/>
      <c r="E206" s="159"/>
      <c r="F206" s="159"/>
      <c r="G206" s="159"/>
      <c r="H206" s="159"/>
      <c r="I206" s="159"/>
      <c r="J206" s="159"/>
    </row>
    <row r="207" spans="1:10" ht="15.75" customHeight="1" x14ac:dyDescent="0.45">
      <c r="A207" s="158">
        <f t="shared" si="15"/>
        <v>205</v>
      </c>
      <c r="B207" s="164"/>
      <c r="C207" s="159"/>
      <c r="D207" s="159"/>
      <c r="E207" s="159"/>
      <c r="F207" s="159"/>
      <c r="G207" s="159"/>
      <c r="H207" s="159"/>
      <c r="I207" s="159"/>
      <c r="J207" s="159"/>
    </row>
    <row r="208" spans="1:10" ht="15.75" customHeight="1" x14ac:dyDescent="0.45">
      <c r="A208" s="158">
        <f t="shared" si="15"/>
        <v>206</v>
      </c>
      <c r="B208" s="164"/>
      <c r="C208" s="159"/>
      <c r="D208" s="159"/>
      <c r="E208" s="159"/>
      <c r="F208" s="159"/>
      <c r="G208" s="159"/>
      <c r="H208" s="159"/>
      <c r="I208" s="159"/>
      <c r="J208" s="159"/>
    </row>
    <row r="209" spans="1:10" ht="15.75" customHeight="1" x14ac:dyDescent="0.45">
      <c r="A209" s="158">
        <f t="shared" si="15"/>
        <v>207</v>
      </c>
      <c r="B209" s="164"/>
      <c r="C209" s="159"/>
      <c r="D209" s="159"/>
      <c r="E209" s="159"/>
      <c r="F209" s="159"/>
      <c r="G209" s="159"/>
      <c r="H209" s="159"/>
      <c r="I209" s="159"/>
      <c r="J209" s="159"/>
    </row>
    <row r="210" spans="1:10" ht="15.75" customHeight="1" x14ac:dyDescent="0.45">
      <c r="A210" s="158">
        <f t="shared" si="15"/>
        <v>208</v>
      </c>
      <c r="B210" s="164"/>
      <c r="C210" s="159"/>
      <c r="D210" s="159"/>
      <c r="E210" s="159"/>
      <c r="F210" s="159"/>
      <c r="G210" s="159"/>
      <c r="H210" s="159"/>
      <c r="I210" s="159"/>
      <c r="J210" s="159"/>
    </row>
    <row r="211" spans="1:10" ht="15.75" customHeight="1" x14ac:dyDescent="0.45">
      <c r="A211" s="158">
        <f t="shared" si="15"/>
        <v>209</v>
      </c>
      <c r="B211" s="164"/>
      <c r="C211" s="159"/>
      <c r="D211" s="159"/>
      <c r="E211" s="159"/>
      <c r="F211" s="159"/>
      <c r="G211" s="159"/>
      <c r="H211" s="159"/>
      <c r="I211" s="159"/>
      <c r="J211" s="159"/>
    </row>
    <row r="212" spans="1:10" ht="15.75" customHeight="1" x14ac:dyDescent="0.45">
      <c r="A212" s="158">
        <f t="shared" si="15"/>
        <v>210</v>
      </c>
      <c r="B212" s="164"/>
      <c r="C212" s="159"/>
      <c r="D212" s="159"/>
      <c r="E212" s="159"/>
      <c r="F212" s="159"/>
      <c r="G212" s="159"/>
      <c r="H212" s="159"/>
      <c r="I212" s="159"/>
      <c r="J212" s="159"/>
    </row>
    <row r="213" spans="1:10" ht="15.75" customHeight="1" x14ac:dyDescent="0.45">
      <c r="A213" s="158">
        <f t="shared" si="15"/>
        <v>211</v>
      </c>
      <c r="B213" s="164"/>
      <c r="C213" s="159"/>
      <c r="D213" s="159"/>
      <c r="E213" s="159"/>
      <c r="F213" s="159"/>
      <c r="G213" s="159"/>
      <c r="H213" s="159"/>
      <c r="I213" s="159"/>
      <c r="J213" s="159"/>
    </row>
    <row r="214" spans="1:10" ht="15.75" customHeight="1" x14ac:dyDescent="0.45">
      <c r="A214" s="158">
        <f t="shared" si="15"/>
        <v>212</v>
      </c>
      <c r="B214" s="164"/>
      <c r="C214" s="159"/>
      <c r="D214" s="159"/>
      <c r="E214" s="159"/>
      <c r="F214" s="159"/>
      <c r="G214" s="159"/>
      <c r="H214" s="159"/>
      <c r="I214" s="159"/>
      <c r="J214" s="159"/>
    </row>
    <row r="215" spans="1:10" ht="15.75" customHeight="1" x14ac:dyDescent="0.45">
      <c r="A215" s="158">
        <f t="shared" ref="A215:A226" si="16">A214+1</f>
        <v>213</v>
      </c>
      <c r="B215" s="164"/>
      <c r="C215" s="159"/>
      <c r="D215" s="159"/>
      <c r="E215" s="159"/>
      <c r="F215" s="159"/>
      <c r="G215" s="159"/>
      <c r="H215" s="159"/>
      <c r="I215" s="159"/>
      <c r="J215" s="159"/>
    </row>
    <row r="216" spans="1:10" ht="15.75" customHeight="1" x14ac:dyDescent="0.45">
      <c r="A216" s="158">
        <f t="shared" si="16"/>
        <v>214</v>
      </c>
      <c r="B216" s="164"/>
      <c r="C216" s="159"/>
      <c r="D216" s="159"/>
      <c r="E216" s="159"/>
      <c r="F216" s="159"/>
      <c r="G216" s="159"/>
      <c r="H216" s="159"/>
      <c r="I216" s="159"/>
      <c r="J216" s="159"/>
    </row>
    <row r="217" spans="1:10" ht="15.75" customHeight="1" x14ac:dyDescent="0.45">
      <c r="A217" s="158">
        <f t="shared" si="16"/>
        <v>215</v>
      </c>
      <c r="B217" s="164"/>
      <c r="C217" s="159"/>
      <c r="D217" s="159"/>
      <c r="E217" s="159"/>
      <c r="F217" s="159"/>
      <c r="G217" s="159"/>
      <c r="H217" s="159"/>
      <c r="I217" s="159"/>
      <c r="J217" s="159"/>
    </row>
    <row r="218" spans="1:10" ht="15.75" customHeight="1" x14ac:dyDescent="0.45">
      <c r="A218" s="158">
        <f t="shared" si="16"/>
        <v>216</v>
      </c>
      <c r="B218" s="164"/>
      <c r="C218" s="159"/>
      <c r="D218" s="159"/>
      <c r="E218" s="159"/>
      <c r="F218" s="159"/>
      <c r="G218" s="159"/>
      <c r="H218" s="159"/>
      <c r="I218" s="159"/>
      <c r="J218" s="159"/>
    </row>
    <row r="219" spans="1:10" ht="15.75" customHeight="1" x14ac:dyDescent="0.45">
      <c r="A219" s="158">
        <f t="shared" si="16"/>
        <v>217</v>
      </c>
      <c r="B219" s="164"/>
      <c r="C219" s="159"/>
      <c r="D219" s="159"/>
      <c r="E219" s="159"/>
      <c r="F219" s="159"/>
      <c r="G219" s="159"/>
      <c r="H219" s="159"/>
      <c r="I219" s="159"/>
      <c r="J219" s="159"/>
    </row>
    <row r="220" spans="1:10" ht="15.75" customHeight="1" x14ac:dyDescent="0.45">
      <c r="A220" s="158">
        <f t="shared" si="16"/>
        <v>218</v>
      </c>
      <c r="B220" s="164"/>
      <c r="C220" s="159"/>
      <c r="D220" s="159"/>
      <c r="E220" s="159"/>
      <c r="F220" s="159"/>
      <c r="G220" s="159"/>
      <c r="H220" s="159"/>
      <c r="I220" s="159"/>
      <c r="J220" s="159"/>
    </row>
    <row r="221" spans="1:10" ht="15.75" customHeight="1" x14ac:dyDescent="0.45">
      <c r="A221" s="158">
        <f t="shared" si="16"/>
        <v>219</v>
      </c>
      <c r="B221" s="164"/>
      <c r="C221" s="159"/>
      <c r="D221" s="159"/>
      <c r="E221" s="159"/>
      <c r="F221" s="159"/>
      <c r="G221" s="159"/>
      <c r="H221" s="159"/>
      <c r="I221" s="159"/>
      <c r="J221" s="159"/>
    </row>
    <row r="222" spans="1:10" ht="15.75" customHeight="1" x14ac:dyDescent="0.45">
      <c r="A222" s="158">
        <f t="shared" si="16"/>
        <v>220</v>
      </c>
      <c r="B222" s="164"/>
      <c r="C222" s="159"/>
      <c r="D222" s="159"/>
      <c r="E222" s="159"/>
      <c r="F222" s="159"/>
      <c r="G222" s="159"/>
      <c r="H222" s="159"/>
      <c r="I222" s="159"/>
      <c r="J222" s="159"/>
    </row>
    <row r="223" spans="1:10" ht="15.75" customHeight="1" x14ac:dyDescent="0.45">
      <c r="A223" s="158">
        <f t="shared" si="16"/>
        <v>221</v>
      </c>
      <c r="B223" s="164"/>
      <c r="C223" s="159"/>
      <c r="D223" s="159"/>
      <c r="E223" s="159"/>
      <c r="F223" s="159"/>
      <c r="G223" s="159"/>
      <c r="H223" s="159"/>
      <c r="I223" s="159"/>
      <c r="J223" s="159"/>
    </row>
    <row r="224" spans="1:10" ht="15.75" customHeight="1" x14ac:dyDescent="0.45">
      <c r="A224" s="158">
        <f t="shared" si="16"/>
        <v>222</v>
      </c>
      <c r="B224" s="164"/>
      <c r="C224" s="159"/>
      <c r="D224" s="159"/>
      <c r="E224" s="159"/>
      <c r="F224" s="159"/>
      <c r="G224" s="159"/>
      <c r="H224" s="159"/>
      <c r="I224" s="159"/>
      <c r="J224" s="159"/>
    </row>
    <row r="225" spans="1:10" ht="15.75" customHeight="1" x14ac:dyDescent="0.45">
      <c r="A225" s="158">
        <f t="shared" si="16"/>
        <v>223</v>
      </c>
      <c r="B225" s="164"/>
      <c r="C225" s="159"/>
      <c r="D225" s="159"/>
      <c r="E225" s="159"/>
      <c r="F225" s="159"/>
      <c r="G225" s="159"/>
      <c r="H225" s="159"/>
      <c r="I225" s="159"/>
      <c r="J225" s="159"/>
    </row>
    <row r="226" spans="1:10" ht="15.75" customHeight="1" x14ac:dyDescent="0.45">
      <c r="A226" s="158">
        <f t="shared" si="16"/>
        <v>224</v>
      </c>
      <c r="B226" s="165"/>
      <c r="C226" s="162"/>
      <c r="D226" s="162"/>
      <c r="E226" s="162"/>
      <c r="F226" s="162"/>
      <c r="G226" s="162"/>
      <c r="H226" s="162"/>
      <c r="I226" s="162"/>
      <c r="J226" s="162"/>
    </row>
    <row r="227" spans="1:10" ht="13.8" x14ac:dyDescent="0.45">
      <c r="I227" s="302"/>
      <c r="J227" s="303"/>
    </row>
    <row r="228" spans="1:10" ht="13.8" x14ac:dyDescent="0.45">
      <c r="I228" s="302"/>
      <c r="J228" s="303"/>
    </row>
    <row r="229" spans="1:10" ht="13.8" x14ac:dyDescent="0.45">
      <c r="I229" s="302"/>
      <c r="J229" s="303"/>
    </row>
    <row r="230" spans="1:10" ht="13.8" x14ac:dyDescent="0.45">
      <c r="I230" s="302"/>
      <c r="J230" s="303"/>
    </row>
    <row r="231" spans="1:10" ht="13.8" x14ac:dyDescent="0.45">
      <c r="I231" s="302"/>
      <c r="J231" s="303"/>
    </row>
    <row r="232" spans="1:10" ht="13.8" x14ac:dyDescent="0.45">
      <c r="I232" s="302"/>
      <c r="J232" s="303"/>
    </row>
    <row r="233" spans="1:10" ht="13.8" x14ac:dyDescent="0.45">
      <c r="I233" s="302"/>
      <c r="J233" s="303"/>
    </row>
    <row r="234" spans="1:10" ht="13.8" x14ac:dyDescent="0.45">
      <c r="I234" s="302"/>
      <c r="J234" s="303"/>
    </row>
    <row r="235" spans="1:10" ht="13.8" x14ac:dyDescent="0.45">
      <c r="I235" s="302"/>
      <c r="J235" s="303"/>
    </row>
    <row r="236" spans="1:10" ht="13.8" x14ac:dyDescent="0.45">
      <c r="I236" s="302"/>
      <c r="J236" s="303"/>
    </row>
    <row r="237" spans="1:10" ht="13.8" x14ac:dyDescent="0.45">
      <c r="I237" s="302"/>
      <c r="J237" s="303"/>
    </row>
    <row r="238" spans="1:10" ht="13.8" x14ac:dyDescent="0.45">
      <c r="I238" s="302"/>
      <c r="J238" s="303"/>
    </row>
    <row r="239" spans="1:10" ht="13.8" x14ac:dyDescent="0.45">
      <c r="I239" s="302"/>
      <c r="J239" s="303"/>
    </row>
    <row r="240" spans="1:10" ht="13.8" x14ac:dyDescent="0.45">
      <c r="I240" s="302"/>
      <c r="J240" s="303"/>
    </row>
    <row r="241" spans="9:10" ht="13.8" x14ac:dyDescent="0.45">
      <c r="I241" s="302"/>
      <c r="J241" s="303"/>
    </row>
    <row r="242" spans="9:10" ht="13.8" x14ac:dyDescent="0.45">
      <c r="I242" s="302"/>
      <c r="J242" s="303"/>
    </row>
    <row r="243" spans="9:10" ht="13.8" x14ac:dyDescent="0.45">
      <c r="I243" s="302"/>
      <c r="J243" s="303"/>
    </row>
    <row r="244" spans="9:10" ht="13.8" x14ac:dyDescent="0.45">
      <c r="I244" s="302"/>
      <c r="J244" s="303"/>
    </row>
    <row r="245" spans="9:10" ht="13.8" x14ac:dyDescent="0.45">
      <c r="I245" s="302"/>
      <c r="J245" s="303"/>
    </row>
    <row r="246" spans="9:10" ht="13.8" x14ac:dyDescent="0.45">
      <c r="I246" s="302"/>
      <c r="J246" s="303"/>
    </row>
    <row r="247" spans="9:10" ht="13.8" x14ac:dyDescent="0.45">
      <c r="I247" s="302"/>
      <c r="J247" s="303"/>
    </row>
    <row r="248" spans="9:10" ht="13.8" x14ac:dyDescent="0.45">
      <c r="I248" s="302"/>
      <c r="J248" s="303"/>
    </row>
    <row r="249" spans="9:10" ht="13.8" x14ac:dyDescent="0.45">
      <c r="I249" s="302"/>
      <c r="J249" s="303"/>
    </row>
    <row r="250" spans="9:10" ht="13.8" x14ac:dyDescent="0.45">
      <c r="I250" s="302"/>
      <c r="J250" s="303"/>
    </row>
    <row r="251" spans="9:10" ht="13.8" x14ac:dyDescent="0.45">
      <c r="I251" s="302"/>
      <c r="J251" s="303"/>
    </row>
    <row r="252" spans="9:10" ht="13.8" x14ac:dyDescent="0.45">
      <c r="I252" s="302"/>
      <c r="J252" s="303"/>
    </row>
    <row r="253" spans="9:10" ht="13.8" x14ac:dyDescent="0.45">
      <c r="I253" s="302"/>
      <c r="J253" s="303"/>
    </row>
    <row r="254" spans="9:10" ht="13.8" x14ac:dyDescent="0.45">
      <c r="I254" s="302"/>
      <c r="J254" s="303"/>
    </row>
    <row r="255" spans="9:10" ht="13.8" x14ac:dyDescent="0.45">
      <c r="I255" s="302"/>
      <c r="J255" s="303"/>
    </row>
    <row r="256" spans="9:10" ht="13.8" x14ac:dyDescent="0.45">
      <c r="I256" s="302"/>
      <c r="J256" s="303"/>
    </row>
    <row r="257" spans="9:10" ht="13.8" x14ac:dyDescent="0.45">
      <c r="I257" s="302"/>
      <c r="J257" s="303"/>
    </row>
    <row r="258" spans="9:10" ht="13.8" x14ac:dyDescent="0.45">
      <c r="I258" s="302"/>
      <c r="J258" s="303"/>
    </row>
    <row r="259" spans="9:10" ht="13.8" x14ac:dyDescent="0.45">
      <c r="I259" s="302"/>
      <c r="J259" s="303"/>
    </row>
    <row r="260" spans="9:10" ht="13.8" x14ac:dyDescent="0.45">
      <c r="I260" s="302"/>
      <c r="J260" s="303"/>
    </row>
    <row r="261" spans="9:10" ht="13.8" x14ac:dyDescent="0.45">
      <c r="I261" s="302"/>
      <c r="J261" s="303"/>
    </row>
    <row r="262" spans="9:10" ht="13.8" x14ac:dyDescent="0.45">
      <c r="I262" s="302"/>
      <c r="J262" s="303"/>
    </row>
    <row r="263" spans="9:10" ht="13.8" x14ac:dyDescent="0.45">
      <c r="I263" s="302"/>
      <c r="J263" s="303"/>
    </row>
    <row r="264" spans="9:10" ht="13.8" x14ac:dyDescent="0.45">
      <c r="I264" s="302"/>
      <c r="J264" s="303"/>
    </row>
    <row r="265" spans="9:10" ht="13.8" x14ac:dyDescent="0.45">
      <c r="I265" s="302"/>
      <c r="J265" s="303"/>
    </row>
    <row r="266" spans="9:10" ht="13.8" x14ac:dyDescent="0.45">
      <c r="I266" s="302"/>
      <c r="J266" s="303"/>
    </row>
    <row r="267" spans="9:10" ht="13.8" x14ac:dyDescent="0.45">
      <c r="I267" s="302"/>
      <c r="J267" s="303"/>
    </row>
    <row r="268" spans="9:10" ht="13.8" x14ac:dyDescent="0.45">
      <c r="I268" s="302"/>
      <c r="J268" s="303"/>
    </row>
    <row r="269" spans="9:10" ht="13.8" x14ac:dyDescent="0.45">
      <c r="I269" s="302"/>
      <c r="J269" s="303"/>
    </row>
    <row r="270" spans="9:10" ht="13.8" x14ac:dyDescent="0.45">
      <c r="I270" s="302"/>
      <c r="J270" s="303"/>
    </row>
    <row r="271" spans="9:10" ht="13.8" x14ac:dyDescent="0.45">
      <c r="I271" s="302"/>
      <c r="J271" s="303"/>
    </row>
    <row r="272" spans="9:10" ht="13.8" x14ac:dyDescent="0.45">
      <c r="I272" s="302"/>
      <c r="J272" s="303"/>
    </row>
    <row r="273" spans="9:10" ht="13.8" x14ac:dyDescent="0.45">
      <c r="I273" s="302"/>
      <c r="J273" s="303"/>
    </row>
    <row r="274" spans="9:10" ht="13.8" x14ac:dyDescent="0.45">
      <c r="I274" s="302"/>
      <c r="J274" s="303"/>
    </row>
    <row r="275" spans="9:10" ht="13.8" x14ac:dyDescent="0.45">
      <c r="I275" s="302"/>
      <c r="J275" s="303"/>
    </row>
    <row r="276" spans="9:10" ht="13.8" x14ac:dyDescent="0.45">
      <c r="I276" s="302"/>
      <c r="J276" s="303"/>
    </row>
    <row r="277" spans="9:10" ht="13.8" x14ac:dyDescent="0.45">
      <c r="I277" s="302"/>
      <c r="J277" s="303"/>
    </row>
    <row r="278" spans="9:10" ht="13.8" x14ac:dyDescent="0.45">
      <c r="I278" s="302"/>
      <c r="J278" s="303"/>
    </row>
    <row r="279" spans="9:10" ht="13.8" x14ac:dyDescent="0.45">
      <c r="I279" s="302"/>
      <c r="J279" s="303"/>
    </row>
    <row r="280" spans="9:10" ht="13.8" x14ac:dyDescent="0.45">
      <c r="I280" s="302"/>
      <c r="J280" s="303"/>
    </row>
    <row r="281" spans="9:10" ht="13.8" x14ac:dyDescent="0.45">
      <c r="I281" s="302"/>
      <c r="J281" s="303"/>
    </row>
    <row r="282" spans="9:10" ht="13.8" x14ac:dyDescent="0.45">
      <c r="I282" s="302"/>
      <c r="J282" s="303"/>
    </row>
    <row r="283" spans="9:10" ht="13.8" x14ac:dyDescent="0.45">
      <c r="I283" s="302"/>
      <c r="J283" s="303"/>
    </row>
    <row r="284" spans="9:10" ht="13.8" x14ac:dyDescent="0.45">
      <c r="I284" s="302"/>
      <c r="J284" s="303"/>
    </row>
    <row r="285" spans="9:10" ht="13.8" x14ac:dyDescent="0.45">
      <c r="I285" s="302"/>
      <c r="J285" s="303"/>
    </row>
    <row r="286" spans="9:10" ht="13.8" x14ac:dyDescent="0.45">
      <c r="I286" s="302"/>
      <c r="J286" s="303"/>
    </row>
    <row r="287" spans="9:10" ht="13.8" x14ac:dyDescent="0.45">
      <c r="I287" s="302"/>
      <c r="J287" s="303"/>
    </row>
    <row r="288" spans="9:10" ht="13.8" x14ac:dyDescent="0.45">
      <c r="I288" s="302"/>
      <c r="J288" s="303"/>
    </row>
    <row r="289" spans="9:10" ht="13.8" x14ac:dyDescent="0.45">
      <c r="I289" s="302"/>
      <c r="J289" s="303"/>
    </row>
    <row r="290" spans="9:10" ht="13.8" x14ac:dyDescent="0.45">
      <c r="I290" s="302"/>
      <c r="J290" s="303"/>
    </row>
    <row r="291" spans="9:10" ht="13.8" x14ac:dyDescent="0.45">
      <c r="I291" s="302"/>
      <c r="J291" s="303"/>
    </row>
    <row r="292" spans="9:10" ht="13.8" x14ac:dyDescent="0.45">
      <c r="I292" s="302"/>
      <c r="J292" s="303"/>
    </row>
    <row r="293" spans="9:10" ht="13.8" x14ac:dyDescent="0.45">
      <c r="I293" s="302"/>
      <c r="J293" s="303"/>
    </row>
    <row r="294" spans="9:10" ht="13.8" x14ac:dyDescent="0.45">
      <c r="I294" s="302"/>
      <c r="J294" s="303"/>
    </row>
    <row r="295" spans="9:10" ht="13.8" x14ac:dyDescent="0.45">
      <c r="I295" s="302"/>
      <c r="J295" s="303"/>
    </row>
    <row r="296" spans="9:10" ht="13.8" x14ac:dyDescent="0.45">
      <c r="I296" s="302"/>
      <c r="J296" s="303"/>
    </row>
    <row r="297" spans="9:10" ht="13.8" x14ac:dyDescent="0.45">
      <c r="I297" s="302"/>
      <c r="J297" s="303"/>
    </row>
    <row r="298" spans="9:10" ht="13.8" x14ac:dyDescent="0.45">
      <c r="I298" s="302"/>
      <c r="J298" s="303"/>
    </row>
    <row r="299" spans="9:10" ht="13.8" x14ac:dyDescent="0.45">
      <c r="I299" s="302"/>
      <c r="J299" s="303"/>
    </row>
    <row r="300" spans="9:10" ht="13.8" x14ac:dyDescent="0.45">
      <c r="I300" s="302"/>
      <c r="J300" s="303"/>
    </row>
    <row r="301" spans="9:10" ht="13.8" x14ac:dyDescent="0.45">
      <c r="I301" s="302"/>
      <c r="J301" s="303"/>
    </row>
    <row r="302" spans="9:10" ht="13.8" x14ac:dyDescent="0.45">
      <c r="I302" s="302"/>
      <c r="J302" s="303"/>
    </row>
    <row r="303" spans="9:10" ht="13.8" x14ac:dyDescent="0.45">
      <c r="I303" s="302"/>
      <c r="J303" s="303"/>
    </row>
    <row r="304" spans="9:10" ht="13.8" x14ac:dyDescent="0.45">
      <c r="I304" s="302"/>
      <c r="J304" s="303"/>
    </row>
    <row r="305" spans="9:10" ht="13.8" x14ac:dyDescent="0.45">
      <c r="I305" s="302"/>
      <c r="J305" s="303"/>
    </row>
    <row r="306" spans="9:10" ht="13.8" x14ac:dyDescent="0.45">
      <c r="I306" s="302"/>
      <c r="J306" s="303"/>
    </row>
    <row r="307" spans="9:10" ht="13.8" x14ac:dyDescent="0.45">
      <c r="I307" s="302"/>
      <c r="J307" s="303"/>
    </row>
    <row r="308" spans="9:10" ht="13.8" x14ac:dyDescent="0.45">
      <c r="I308" s="302"/>
      <c r="J308" s="303"/>
    </row>
    <row r="309" spans="9:10" ht="13.8" x14ac:dyDescent="0.45">
      <c r="I309" s="302"/>
      <c r="J309" s="303"/>
    </row>
    <row r="310" spans="9:10" ht="13.8" x14ac:dyDescent="0.45">
      <c r="I310" s="302"/>
      <c r="J310" s="303"/>
    </row>
    <row r="311" spans="9:10" ht="13.8" x14ac:dyDescent="0.45">
      <c r="I311" s="302"/>
      <c r="J311" s="303"/>
    </row>
    <row r="312" spans="9:10" ht="13.8" x14ac:dyDescent="0.45">
      <c r="I312" s="302"/>
      <c r="J312" s="303"/>
    </row>
    <row r="313" spans="9:10" ht="13.8" x14ac:dyDescent="0.45">
      <c r="I313" s="302"/>
      <c r="J313" s="303"/>
    </row>
    <row r="314" spans="9:10" ht="13.8" x14ac:dyDescent="0.45">
      <c r="I314" s="302"/>
      <c r="J314" s="303"/>
    </row>
    <row r="315" spans="9:10" ht="13.8" x14ac:dyDescent="0.45">
      <c r="I315" s="302"/>
      <c r="J315" s="303"/>
    </row>
    <row r="316" spans="9:10" ht="13.8" x14ac:dyDescent="0.45">
      <c r="I316" s="302"/>
      <c r="J316" s="303"/>
    </row>
    <row r="317" spans="9:10" ht="13.8" x14ac:dyDescent="0.45">
      <c r="I317" s="302"/>
      <c r="J317" s="303"/>
    </row>
    <row r="318" spans="9:10" ht="13.8" x14ac:dyDescent="0.45">
      <c r="I318" s="302"/>
      <c r="J318" s="303"/>
    </row>
    <row r="319" spans="9:10" ht="13.8" x14ac:dyDescent="0.45">
      <c r="I319" s="302"/>
      <c r="J319" s="303"/>
    </row>
    <row r="320" spans="9:10" ht="13.8" x14ac:dyDescent="0.45">
      <c r="I320" s="302"/>
      <c r="J320" s="303"/>
    </row>
    <row r="321" spans="9:10" ht="13.8" x14ac:dyDescent="0.45">
      <c r="I321" s="302"/>
      <c r="J321" s="303"/>
    </row>
    <row r="322" spans="9:10" ht="13.8" x14ac:dyDescent="0.45">
      <c r="I322" s="302"/>
      <c r="J322" s="303"/>
    </row>
    <row r="323" spans="9:10" ht="13.8" x14ac:dyDescent="0.45">
      <c r="I323" s="302"/>
      <c r="J323" s="303"/>
    </row>
    <row r="324" spans="9:10" ht="13.8" x14ac:dyDescent="0.45">
      <c r="I324" s="302"/>
      <c r="J324" s="303"/>
    </row>
    <row r="325" spans="9:10" ht="13.8" x14ac:dyDescent="0.45">
      <c r="I325" s="302"/>
      <c r="J325" s="303"/>
    </row>
    <row r="326" spans="9:10" ht="13.8" x14ac:dyDescent="0.45">
      <c r="I326" s="302"/>
      <c r="J326" s="303"/>
    </row>
    <row r="327" spans="9:10" ht="13.8" x14ac:dyDescent="0.45">
      <c r="I327" s="302"/>
      <c r="J327" s="303"/>
    </row>
    <row r="328" spans="9:10" ht="13.8" x14ac:dyDescent="0.45">
      <c r="I328" s="302"/>
      <c r="J328" s="303"/>
    </row>
    <row r="329" spans="9:10" ht="13.8" x14ac:dyDescent="0.45">
      <c r="I329" s="302"/>
      <c r="J329" s="303"/>
    </row>
    <row r="330" spans="9:10" ht="13.8" x14ac:dyDescent="0.45">
      <c r="I330" s="302"/>
      <c r="J330" s="303"/>
    </row>
    <row r="331" spans="9:10" ht="13.8" x14ac:dyDescent="0.45">
      <c r="I331" s="302"/>
      <c r="J331" s="303"/>
    </row>
    <row r="332" spans="9:10" ht="13.8" x14ac:dyDescent="0.45">
      <c r="I332" s="302"/>
      <c r="J332" s="303"/>
    </row>
    <row r="333" spans="9:10" ht="13.8" x14ac:dyDescent="0.45">
      <c r="I333" s="302"/>
      <c r="J333" s="303"/>
    </row>
    <row r="334" spans="9:10" ht="13.8" x14ac:dyDescent="0.45">
      <c r="I334" s="302"/>
      <c r="J334" s="303"/>
    </row>
    <row r="335" spans="9:10" ht="13.8" x14ac:dyDescent="0.45">
      <c r="I335" s="302"/>
      <c r="J335" s="303"/>
    </row>
    <row r="336" spans="9:10" ht="13.8" x14ac:dyDescent="0.45">
      <c r="I336" s="302"/>
      <c r="J336" s="303"/>
    </row>
    <row r="337" spans="9:10" ht="13.8" x14ac:dyDescent="0.45">
      <c r="I337" s="302"/>
      <c r="J337" s="303"/>
    </row>
    <row r="338" spans="9:10" ht="13.8" x14ac:dyDescent="0.45">
      <c r="I338" s="302"/>
      <c r="J338" s="303"/>
    </row>
    <row r="339" spans="9:10" ht="13.8" x14ac:dyDescent="0.45">
      <c r="I339" s="302"/>
      <c r="J339" s="303"/>
    </row>
    <row r="340" spans="9:10" ht="13.8" x14ac:dyDescent="0.45">
      <c r="I340" s="302"/>
      <c r="J340" s="303"/>
    </row>
    <row r="341" spans="9:10" ht="13.8" x14ac:dyDescent="0.45">
      <c r="I341" s="302"/>
      <c r="J341" s="303"/>
    </row>
    <row r="342" spans="9:10" ht="13.8" x14ac:dyDescent="0.45">
      <c r="I342" s="302"/>
      <c r="J342" s="303"/>
    </row>
    <row r="343" spans="9:10" ht="13.8" x14ac:dyDescent="0.45">
      <c r="I343" s="302"/>
      <c r="J343" s="303"/>
    </row>
    <row r="344" spans="9:10" ht="13.8" x14ac:dyDescent="0.45">
      <c r="I344" s="302"/>
      <c r="J344" s="303"/>
    </row>
    <row r="345" spans="9:10" ht="13.8" x14ac:dyDescent="0.45">
      <c r="I345" s="302"/>
      <c r="J345" s="303"/>
    </row>
    <row r="346" spans="9:10" ht="13.8" x14ac:dyDescent="0.45">
      <c r="I346" s="302"/>
      <c r="J346" s="303"/>
    </row>
    <row r="347" spans="9:10" ht="13.8" x14ac:dyDescent="0.45">
      <c r="I347" s="302"/>
      <c r="J347" s="303"/>
    </row>
    <row r="348" spans="9:10" ht="13.8" x14ac:dyDescent="0.45">
      <c r="I348" s="302"/>
      <c r="J348" s="303"/>
    </row>
    <row r="349" spans="9:10" ht="13.8" x14ac:dyDescent="0.45">
      <c r="I349" s="302"/>
      <c r="J349" s="303"/>
    </row>
    <row r="350" spans="9:10" ht="13.8" x14ac:dyDescent="0.45">
      <c r="I350" s="302"/>
      <c r="J350" s="303"/>
    </row>
    <row r="351" spans="9:10" ht="13.8" x14ac:dyDescent="0.45">
      <c r="I351" s="302"/>
      <c r="J351" s="303"/>
    </row>
    <row r="352" spans="9:10" ht="13.8" x14ac:dyDescent="0.45">
      <c r="I352" s="302"/>
      <c r="J352" s="303"/>
    </row>
    <row r="353" spans="9:10" ht="13.8" x14ac:dyDescent="0.45">
      <c r="I353" s="302"/>
      <c r="J353" s="303"/>
    </row>
    <row r="354" spans="9:10" ht="13.8" x14ac:dyDescent="0.45">
      <c r="I354" s="302"/>
      <c r="J354" s="303"/>
    </row>
    <row r="355" spans="9:10" ht="13.8" x14ac:dyDescent="0.45">
      <c r="I355" s="302"/>
      <c r="J355" s="303"/>
    </row>
    <row r="356" spans="9:10" ht="13.8" x14ac:dyDescent="0.45">
      <c r="I356" s="302"/>
      <c r="J356" s="303"/>
    </row>
    <row r="357" spans="9:10" ht="13.8" x14ac:dyDescent="0.45">
      <c r="I357" s="302"/>
      <c r="J357" s="303"/>
    </row>
    <row r="358" spans="9:10" ht="13.8" x14ac:dyDescent="0.45">
      <c r="I358" s="302"/>
      <c r="J358" s="303"/>
    </row>
    <row r="359" spans="9:10" ht="13.8" x14ac:dyDescent="0.45">
      <c r="I359" s="302"/>
      <c r="J359" s="303"/>
    </row>
    <row r="360" spans="9:10" ht="13.8" x14ac:dyDescent="0.45">
      <c r="I360" s="302"/>
      <c r="J360" s="303"/>
    </row>
    <row r="361" spans="9:10" ht="13.8" x14ac:dyDescent="0.45">
      <c r="I361" s="302"/>
      <c r="J361" s="303"/>
    </row>
    <row r="362" spans="9:10" ht="13.8" x14ac:dyDescent="0.45">
      <c r="I362" s="302"/>
      <c r="J362" s="303"/>
    </row>
    <row r="363" spans="9:10" ht="13.8" x14ac:dyDescent="0.45">
      <c r="I363" s="302"/>
      <c r="J363" s="303"/>
    </row>
    <row r="364" spans="9:10" ht="13.8" x14ac:dyDescent="0.45">
      <c r="I364" s="302"/>
      <c r="J364" s="303"/>
    </row>
    <row r="365" spans="9:10" ht="13.8" x14ac:dyDescent="0.45">
      <c r="I365" s="302"/>
      <c r="J365" s="303"/>
    </row>
    <row r="366" spans="9:10" ht="13.8" x14ac:dyDescent="0.45">
      <c r="I366" s="302"/>
      <c r="J366" s="303"/>
    </row>
    <row r="367" spans="9:10" ht="13.8" x14ac:dyDescent="0.45">
      <c r="I367" s="302"/>
      <c r="J367" s="303"/>
    </row>
    <row r="368" spans="9:10" ht="13.8" x14ac:dyDescent="0.45">
      <c r="I368" s="302"/>
      <c r="J368" s="303"/>
    </row>
    <row r="369" spans="9:10" ht="13.8" x14ac:dyDescent="0.45">
      <c r="I369" s="302"/>
      <c r="J369" s="303"/>
    </row>
    <row r="370" spans="9:10" ht="13.8" x14ac:dyDescent="0.45">
      <c r="I370" s="302"/>
      <c r="J370" s="303"/>
    </row>
    <row r="371" spans="9:10" ht="13.8" x14ac:dyDescent="0.45">
      <c r="I371" s="302"/>
      <c r="J371" s="303"/>
    </row>
    <row r="372" spans="9:10" ht="13.8" x14ac:dyDescent="0.45">
      <c r="I372" s="302"/>
      <c r="J372" s="303"/>
    </row>
    <row r="373" spans="9:10" ht="13.8" x14ac:dyDescent="0.45">
      <c r="I373" s="302"/>
      <c r="J373" s="303"/>
    </row>
    <row r="374" spans="9:10" ht="13.8" x14ac:dyDescent="0.45">
      <c r="I374" s="302"/>
      <c r="J374" s="303"/>
    </row>
    <row r="375" spans="9:10" ht="13.8" x14ac:dyDescent="0.45">
      <c r="I375" s="302"/>
      <c r="J375" s="303"/>
    </row>
    <row r="376" spans="9:10" ht="13.8" x14ac:dyDescent="0.45">
      <c r="I376" s="302"/>
      <c r="J376" s="303"/>
    </row>
    <row r="377" spans="9:10" ht="13.8" x14ac:dyDescent="0.45">
      <c r="I377" s="302"/>
      <c r="J377" s="303"/>
    </row>
    <row r="378" spans="9:10" ht="13.8" x14ac:dyDescent="0.45">
      <c r="I378" s="302"/>
      <c r="J378" s="303"/>
    </row>
    <row r="379" spans="9:10" ht="13.8" x14ac:dyDescent="0.45">
      <c r="I379" s="302"/>
      <c r="J379" s="303"/>
    </row>
    <row r="380" spans="9:10" ht="13.8" x14ac:dyDescent="0.45">
      <c r="I380" s="302"/>
      <c r="J380" s="303"/>
    </row>
    <row r="381" spans="9:10" ht="13.8" x14ac:dyDescent="0.45">
      <c r="I381" s="302"/>
      <c r="J381" s="303"/>
    </row>
    <row r="382" spans="9:10" ht="13.8" x14ac:dyDescent="0.45">
      <c r="I382" s="302"/>
      <c r="J382" s="303"/>
    </row>
    <row r="383" spans="9:10" ht="13.8" x14ac:dyDescent="0.45">
      <c r="I383" s="302"/>
      <c r="J383" s="303"/>
    </row>
    <row r="384" spans="9:10" ht="13.8" x14ac:dyDescent="0.45">
      <c r="I384" s="302"/>
      <c r="J384" s="303"/>
    </row>
    <row r="385" spans="9:10" ht="13.8" x14ac:dyDescent="0.45">
      <c r="I385" s="302"/>
      <c r="J385" s="303"/>
    </row>
    <row r="386" spans="9:10" ht="13.8" x14ac:dyDescent="0.45">
      <c r="I386" s="302"/>
      <c r="J386" s="303"/>
    </row>
    <row r="387" spans="9:10" ht="13.8" x14ac:dyDescent="0.45">
      <c r="I387" s="302"/>
      <c r="J387" s="303"/>
    </row>
    <row r="388" spans="9:10" ht="13.8" x14ac:dyDescent="0.45">
      <c r="I388" s="302"/>
      <c r="J388" s="303"/>
    </row>
    <row r="389" spans="9:10" ht="13.8" x14ac:dyDescent="0.45">
      <c r="I389" s="302"/>
      <c r="J389" s="303"/>
    </row>
    <row r="390" spans="9:10" ht="13.8" x14ac:dyDescent="0.45">
      <c r="I390" s="302"/>
      <c r="J390" s="303"/>
    </row>
    <row r="391" spans="9:10" ht="13.8" x14ac:dyDescent="0.45">
      <c r="I391" s="302"/>
      <c r="J391" s="303"/>
    </row>
    <row r="392" spans="9:10" ht="13.8" x14ac:dyDescent="0.45">
      <c r="I392" s="302"/>
      <c r="J392" s="303"/>
    </row>
    <row r="393" spans="9:10" ht="13.8" x14ac:dyDescent="0.45">
      <c r="I393" s="302"/>
      <c r="J393" s="303"/>
    </row>
    <row r="394" spans="9:10" ht="13.8" x14ac:dyDescent="0.45">
      <c r="I394" s="302"/>
      <c r="J394" s="303"/>
    </row>
    <row r="395" spans="9:10" ht="13.8" x14ac:dyDescent="0.45">
      <c r="I395" s="302"/>
      <c r="J395" s="303"/>
    </row>
    <row r="396" spans="9:10" ht="13.8" x14ac:dyDescent="0.45">
      <c r="I396" s="302"/>
      <c r="J396" s="303"/>
    </row>
    <row r="397" spans="9:10" ht="13.8" x14ac:dyDescent="0.45">
      <c r="I397" s="302"/>
      <c r="J397" s="303"/>
    </row>
    <row r="398" spans="9:10" ht="13.8" x14ac:dyDescent="0.45">
      <c r="I398" s="302"/>
      <c r="J398" s="303"/>
    </row>
    <row r="399" spans="9:10" ht="13.8" x14ac:dyDescent="0.45">
      <c r="I399" s="302"/>
      <c r="J399" s="303"/>
    </row>
    <row r="400" spans="9:10" ht="13.8" x14ac:dyDescent="0.45">
      <c r="I400" s="302"/>
      <c r="J400" s="303"/>
    </row>
    <row r="401" spans="9:10" ht="13.8" x14ac:dyDescent="0.45">
      <c r="I401" s="302"/>
      <c r="J401" s="303"/>
    </row>
    <row r="402" spans="9:10" ht="13.8" x14ac:dyDescent="0.45">
      <c r="I402" s="302"/>
      <c r="J402" s="303"/>
    </row>
    <row r="403" spans="9:10" ht="13.8" x14ac:dyDescent="0.45">
      <c r="I403" s="302"/>
      <c r="J403" s="303"/>
    </row>
    <row r="404" spans="9:10" ht="13.8" x14ac:dyDescent="0.45">
      <c r="I404" s="302"/>
      <c r="J404" s="303"/>
    </row>
    <row r="405" spans="9:10" ht="13.8" x14ac:dyDescent="0.45">
      <c r="I405" s="302"/>
      <c r="J405" s="303"/>
    </row>
    <row r="406" spans="9:10" ht="13.8" x14ac:dyDescent="0.45">
      <c r="I406" s="302"/>
      <c r="J406" s="303"/>
    </row>
    <row r="407" spans="9:10" ht="13.8" x14ac:dyDescent="0.45">
      <c r="I407" s="302"/>
      <c r="J407" s="303"/>
    </row>
    <row r="408" spans="9:10" ht="13.8" x14ac:dyDescent="0.45">
      <c r="I408" s="302"/>
      <c r="J408" s="303"/>
    </row>
    <row r="409" spans="9:10" ht="13.8" x14ac:dyDescent="0.45">
      <c r="I409" s="302"/>
      <c r="J409" s="303"/>
    </row>
    <row r="410" spans="9:10" ht="13.8" x14ac:dyDescent="0.45">
      <c r="I410" s="302"/>
      <c r="J410" s="303"/>
    </row>
    <row r="411" spans="9:10" ht="13.8" x14ac:dyDescent="0.45">
      <c r="I411" s="302"/>
      <c r="J411" s="303"/>
    </row>
    <row r="412" spans="9:10" ht="13.8" x14ac:dyDescent="0.45">
      <c r="I412" s="302"/>
      <c r="J412" s="303"/>
    </row>
    <row r="413" spans="9:10" ht="13.8" x14ac:dyDescent="0.45">
      <c r="I413" s="302"/>
      <c r="J413" s="303"/>
    </row>
    <row r="414" spans="9:10" ht="13.8" x14ac:dyDescent="0.45">
      <c r="I414" s="302"/>
      <c r="J414" s="303"/>
    </row>
    <row r="415" spans="9:10" ht="13.8" x14ac:dyDescent="0.45">
      <c r="I415" s="302"/>
      <c r="J415" s="303"/>
    </row>
    <row r="416" spans="9:10" ht="13.8" x14ac:dyDescent="0.45">
      <c r="I416" s="302"/>
      <c r="J416" s="303"/>
    </row>
    <row r="417" spans="9:10" ht="13.8" x14ac:dyDescent="0.45">
      <c r="I417" s="302"/>
      <c r="J417" s="303"/>
    </row>
    <row r="418" spans="9:10" ht="13.8" x14ac:dyDescent="0.45">
      <c r="I418" s="302"/>
      <c r="J418" s="303"/>
    </row>
    <row r="419" spans="9:10" ht="13.8" x14ac:dyDescent="0.45">
      <c r="I419" s="302"/>
      <c r="J419" s="303"/>
    </row>
    <row r="420" spans="9:10" ht="13.8" x14ac:dyDescent="0.45">
      <c r="I420" s="302"/>
      <c r="J420" s="303"/>
    </row>
    <row r="421" spans="9:10" ht="13.8" x14ac:dyDescent="0.45">
      <c r="I421" s="302"/>
      <c r="J421" s="303"/>
    </row>
    <row r="422" spans="9:10" ht="13.8" x14ac:dyDescent="0.45">
      <c r="I422" s="302"/>
      <c r="J422" s="303"/>
    </row>
    <row r="423" spans="9:10" ht="13.8" x14ac:dyDescent="0.45">
      <c r="I423" s="302"/>
      <c r="J423" s="303"/>
    </row>
    <row r="424" spans="9:10" ht="13.8" x14ac:dyDescent="0.45">
      <c r="I424" s="302"/>
      <c r="J424" s="303"/>
    </row>
    <row r="425" spans="9:10" ht="13.8" x14ac:dyDescent="0.45">
      <c r="I425" s="302"/>
      <c r="J425" s="303"/>
    </row>
    <row r="426" spans="9:10" ht="13.8" x14ac:dyDescent="0.45">
      <c r="I426" s="302"/>
      <c r="J426" s="303"/>
    </row>
    <row r="427" spans="9:10" ht="13.8" x14ac:dyDescent="0.45">
      <c r="I427" s="302"/>
      <c r="J427" s="303"/>
    </row>
    <row r="428" spans="9:10" ht="13.8" x14ac:dyDescent="0.45">
      <c r="I428" s="302"/>
      <c r="J428" s="303"/>
    </row>
    <row r="429" spans="9:10" ht="13.8" x14ac:dyDescent="0.45">
      <c r="I429" s="302"/>
      <c r="J429" s="303"/>
    </row>
    <row r="430" spans="9:10" ht="13.8" x14ac:dyDescent="0.45">
      <c r="I430" s="302"/>
      <c r="J430" s="303"/>
    </row>
    <row r="431" spans="9:10" ht="13.8" x14ac:dyDescent="0.45">
      <c r="I431" s="302"/>
      <c r="J431" s="303"/>
    </row>
    <row r="432" spans="9:10" ht="13.8" x14ac:dyDescent="0.45">
      <c r="I432" s="302"/>
      <c r="J432" s="303"/>
    </row>
    <row r="433" spans="9:10" ht="13.8" x14ac:dyDescent="0.45">
      <c r="I433" s="302"/>
      <c r="J433" s="303"/>
    </row>
    <row r="434" spans="9:10" ht="13.8" x14ac:dyDescent="0.45">
      <c r="I434" s="302"/>
      <c r="J434" s="303"/>
    </row>
    <row r="435" spans="9:10" ht="13.8" x14ac:dyDescent="0.45">
      <c r="I435" s="302"/>
      <c r="J435" s="303"/>
    </row>
    <row r="436" spans="9:10" ht="13.8" x14ac:dyDescent="0.45">
      <c r="I436" s="302"/>
      <c r="J436" s="303"/>
    </row>
    <row r="437" spans="9:10" ht="13.8" x14ac:dyDescent="0.45">
      <c r="I437" s="302"/>
      <c r="J437" s="303"/>
    </row>
    <row r="438" spans="9:10" ht="13.8" x14ac:dyDescent="0.45">
      <c r="I438" s="302"/>
      <c r="J438" s="303"/>
    </row>
    <row r="439" spans="9:10" ht="13.8" x14ac:dyDescent="0.45">
      <c r="I439" s="302"/>
      <c r="J439" s="303"/>
    </row>
    <row r="440" spans="9:10" ht="13.8" x14ac:dyDescent="0.45">
      <c r="I440" s="302"/>
      <c r="J440" s="303"/>
    </row>
    <row r="441" spans="9:10" ht="13.8" x14ac:dyDescent="0.45">
      <c r="I441" s="302"/>
      <c r="J441" s="303"/>
    </row>
    <row r="442" spans="9:10" ht="13.8" x14ac:dyDescent="0.45">
      <c r="I442" s="302"/>
      <c r="J442" s="303"/>
    </row>
    <row r="443" spans="9:10" ht="13.8" x14ac:dyDescent="0.45">
      <c r="I443" s="302"/>
      <c r="J443" s="303"/>
    </row>
    <row r="444" spans="9:10" ht="13.8" x14ac:dyDescent="0.45">
      <c r="I444" s="302"/>
      <c r="J444" s="303"/>
    </row>
    <row r="445" spans="9:10" ht="13.8" x14ac:dyDescent="0.45">
      <c r="I445" s="302"/>
      <c r="J445" s="303"/>
    </row>
    <row r="446" spans="9:10" ht="13.8" x14ac:dyDescent="0.45">
      <c r="I446" s="302"/>
      <c r="J446" s="303"/>
    </row>
    <row r="447" spans="9:10" ht="13.8" x14ac:dyDescent="0.45">
      <c r="I447" s="302"/>
      <c r="J447" s="303"/>
    </row>
    <row r="448" spans="9:10" ht="13.8" x14ac:dyDescent="0.45">
      <c r="I448" s="302"/>
      <c r="J448" s="303"/>
    </row>
    <row r="449" spans="9:10" ht="13.8" x14ac:dyDescent="0.45">
      <c r="I449" s="302"/>
      <c r="J449" s="303"/>
    </row>
    <row r="450" spans="9:10" ht="13.8" x14ac:dyDescent="0.45">
      <c r="I450" s="302"/>
      <c r="J450" s="303"/>
    </row>
    <row r="451" spans="9:10" ht="13.8" x14ac:dyDescent="0.45">
      <c r="I451" s="302"/>
      <c r="J451" s="303"/>
    </row>
    <row r="452" spans="9:10" ht="13.8" x14ac:dyDescent="0.45">
      <c r="I452" s="302"/>
      <c r="J452" s="303"/>
    </row>
    <row r="453" spans="9:10" ht="13.8" x14ac:dyDescent="0.45">
      <c r="I453" s="302"/>
      <c r="J453" s="303"/>
    </row>
    <row r="454" spans="9:10" ht="13.8" x14ac:dyDescent="0.45">
      <c r="I454" s="302"/>
      <c r="J454" s="303"/>
    </row>
    <row r="455" spans="9:10" ht="13.8" x14ac:dyDescent="0.45">
      <c r="I455" s="302"/>
      <c r="J455" s="303"/>
    </row>
    <row r="456" spans="9:10" ht="13.8" x14ac:dyDescent="0.45">
      <c r="I456" s="302"/>
      <c r="J456" s="303"/>
    </row>
    <row r="457" spans="9:10" ht="13.8" x14ac:dyDescent="0.45">
      <c r="I457" s="302"/>
      <c r="J457" s="303"/>
    </row>
    <row r="458" spans="9:10" ht="13.8" x14ac:dyDescent="0.45">
      <c r="I458" s="302"/>
      <c r="J458" s="303"/>
    </row>
    <row r="459" spans="9:10" ht="13.8" x14ac:dyDescent="0.45">
      <c r="I459" s="302"/>
      <c r="J459" s="303"/>
    </row>
    <row r="460" spans="9:10" ht="13.8" x14ac:dyDescent="0.45">
      <c r="I460" s="302"/>
      <c r="J460" s="303"/>
    </row>
    <row r="461" spans="9:10" ht="13.8" x14ac:dyDescent="0.45">
      <c r="I461" s="302"/>
      <c r="J461" s="303"/>
    </row>
    <row r="462" spans="9:10" ht="13.8" x14ac:dyDescent="0.45">
      <c r="I462" s="302"/>
      <c r="J462" s="303"/>
    </row>
    <row r="463" spans="9:10" ht="13.8" x14ac:dyDescent="0.45">
      <c r="I463" s="302"/>
      <c r="J463" s="303"/>
    </row>
    <row r="464" spans="9:10" ht="13.8" x14ac:dyDescent="0.45">
      <c r="I464" s="302"/>
      <c r="J464" s="303"/>
    </row>
    <row r="465" spans="9:10" ht="13.8" x14ac:dyDescent="0.45">
      <c r="I465" s="302"/>
      <c r="J465" s="303"/>
    </row>
    <row r="466" spans="9:10" ht="13.8" x14ac:dyDescent="0.45">
      <c r="I466" s="302"/>
      <c r="J466" s="303"/>
    </row>
    <row r="467" spans="9:10" ht="13.8" x14ac:dyDescent="0.45">
      <c r="I467" s="302"/>
      <c r="J467" s="303"/>
    </row>
    <row r="468" spans="9:10" ht="13.8" x14ac:dyDescent="0.45">
      <c r="I468" s="302"/>
      <c r="J468" s="303"/>
    </row>
    <row r="469" spans="9:10" ht="13.8" x14ac:dyDescent="0.45">
      <c r="I469" s="302"/>
      <c r="J469" s="303"/>
    </row>
    <row r="470" spans="9:10" ht="13.8" x14ac:dyDescent="0.45">
      <c r="I470" s="302"/>
      <c r="J470" s="303"/>
    </row>
    <row r="471" spans="9:10" ht="13.8" x14ac:dyDescent="0.45">
      <c r="I471" s="302"/>
      <c r="J471" s="303"/>
    </row>
    <row r="472" spans="9:10" ht="13.8" x14ac:dyDescent="0.45">
      <c r="I472" s="302"/>
      <c r="J472" s="303"/>
    </row>
    <row r="473" spans="9:10" ht="13.8" x14ac:dyDescent="0.45">
      <c r="I473" s="302"/>
      <c r="J473" s="303"/>
    </row>
    <row r="474" spans="9:10" ht="13.8" x14ac:dyDescent="0.45">
      <c r="I474" s="302"/>
      <c r="J474" s="303"/>
    </row>
    <row r="475" spans="9:10" ht="13.8" x14ac:dyDescent="0.45">
      <c r="I475" s="302"/>
      <c r="J475" s="303"/>
    </row>
    <row r="476" spans="9:10" ht="13.8" x14ac:dyDescent="0.45">
      <c r="I476" s="302"/>
      <c r="J476" s="303"/>
    </row>
    <row r="477" spans="9:10" ht="13.8" x14ac:dyDescent="0.45">
      <c r="I477" s="302"/>
      <c r="J477" s="303"/>
    </row>
    <row r="478" spans="9:10" ht="13.8" x14ac:dyDescent="0.45">
      <c r="I478" s="302"/>
      <c r="J478" s="303"/>
    </row>
    <row r="479" spans="9:10" ht="13.8" x14ac:dyDescent="0.45">
      <c r="I479" s="302"/>
      <c r="J479" s="303"/>
    </row>
    <row r="480" spans="9:10" ht="13.8" x14ac:dyDescent="0.45">
      <c r="I480" s="302"/>
      <c r="J480" s="303"/>
    </row>
    <row r="481" spans="9:10" ht="13.8" x14ac:dyDescent="0.45">
      <c r="I481" s="302"/>
      <c r="J481" s="303"/>
    </row>
    <row r="482" spans="9:10" ht="13.8" x14ac:dyDescent="0.45">
      <c r="I482" s="302"/>
      <c r="J482" s="303"/>
    </row>
    <row r="483" spans="9:10" ht="13.8" x14ac:dyDescent="0.45">
      <c r="I483" s="302"/>
      <c r="J483" s="303"/>
    </row>
    <row r="484" spans="9:10" ht="13.8" x14ac:dyDescent="0.45">
      <c r="I484" s="302"/>
      <c r="J484" s="303"/>
    </row>
    <row r="485" spans="9:10" ht="13.8" x14ac:dyDescent="0.45">
      <c r="I485" s="302"/>
      <c r="J485" s="303"/>
    </row>
    <row r="486" spans="9:10" ht="13.8" x14ac:dyDescent="0.45">
      <c r="I486" s="302"/>
      <c r="J486" s="303"/>
    </row>
    <row r="487" spans="9:10" ht="13.8" x14ac:dyDescent="0.45">
      <c r="I487" s="302"/>
      <c r="J487" s="303"/>
    </row>
    <row r="488" spans="9:10" ht="13.8" x14ac:dyDescent="0.45">
      <c r="I488" s="302"/>
      <c r="J488" s="303"/>
    </row>
    <row r="489" spans="9:10" ht="13.8" x14ac:dyDescent="0.45">
      <c r="I489" s="302"/>
      <c r="J489" s="303"/>
    </row>
    <row r="490" spans="9:10" ht="13.8" x14ac:dyDescent="0.45">
      <c r="I490" s="302"/>
      <c r="J490" s="303"/>
    </row>
    <row r="491" spans="9:10" ht="13.8" x14ac:dyDescent="0.45">
      <c r="I491" s="302"/>
      <c r="J491" s="303"/>
    </row>
    <row r="492" spans="9:10" ht="13.8" x14ac:dyDescent="0.45">
      <c r="I492" s="302"/>
      <c r="J492" s="303"/>
    </row>
    <row r="493" spans="9:10" ht="13.8" x14ac:dyDescent="0.45">
      <c r="I493" s="302"/>
      <c r="J493" s="303"/>
    </row>
    <row r="494" spans="9:10" ht="13.8" x14ac:dyDescent="0.45">
      <c r="I494" s="302"/>
      <c r="J494" s="303"/>
    </row>
    <row r="495" spans="9:10" ht="13.8" x14ac:dyDescent="0.45">
      <c r="I495" s="302"/>
      <c r="J495" s="303"/>
    </row>
    <row r="496" spans="9:10" ht="13.8" x14ac:dyDescent="0.45">
      <c r="I496" s="302"/>
      <c r="J496" s="303"/>
    </row>
    <row r="497" spans="9:10" ht="13.8" x14ac:dyDescent="0.45">
      <c r="I497" s="302"/>
      <c r="J497" s="303"/>
    </row>
    <row r="498" spans="9:10" ht="13.8" x14ac:dyDescent="0.45">
      <c r="I498" s="302"/>
      <c r="J498" s="303"/>
    </row>
    <row r="499" spans="9:10" ht="13.8" x14ac:dyDescent="0.45">
      <c r="I499" s="302"/>
      <c r="J499" s="303"/>
    </row>
    <row r="500" spans="9:10" ht="13.8" x14ac:dyDescent="0.45">
      <c r="I500" s="302"/>
      <c r="J500" s="303"/>
    </row>
    <row r="501" spans="9:10" ht="13.8" x14ac:dyDescent="0.45">
      <c r="I501" s="302"/>
      <c r="J501" s="303"/>
    </row>
    <row r="502" spans="9:10" ht="13.8" x14ac:dyDescent="0.45">
      <c r="I502" s="302"/>
      <c r="J502" s="303"/>
    </row>
    <row r="503" spans="9:10" ht="13.8" x14ac:dyDescent="0.45">
      <c r="I503" s="302"/>
      <c r="J503" s="303"/>
    </row>
    <row r="504" spans="9:10" ht="13.8" x14ac:dyDescent="0.45">
      <c r="I504" s="302"/>
      <c r="J504" s="303"/>
    </row>
    <row r="505" spans="9:10" ht="13.8" x14ac:dyDescent="0.45">
      <c r="I505" s="302"/>
      <c r="J505" s="303"/>
    </row>
    <row r="506" spans="9:10" ht="13.8" x14ac:dyDescent="0.45">
      <c r="I506" s="302"/>
      <c r="J506" s="303"/>
    </row>
    <row r="507" spans="9:10" ht="13.8" x14ac:dyDescent="0.45">
      <c r="I507" s="302"/>
      <c r="J507" s="303"/>
    </row>
    <row r="508" spans="9:10" ht="13.8" x14ac:dyDescent="0.45">
      <c r="I508" s="302"/>
      <c r="J508" s="303"/>
    </row>
    <row r="509" spans="9:10" ht="13.8" x14ac:dyDescent="0.45">
      <c r="I509" s="302"/>
      <c r="J509" s="303"/>
    </row>
    <row r="510" spans="9:10" ht="13.8" x14ac:dyDescent="0.45">
      <c r="I510" s="302"/>
      <c r="J510" s="303"/>
    </row>
    <row r="511" spans="9:10" ht="13.8" x14ac:dyDescent="0.45">
      <c r="I511" s="302"/>
      <c r="J511" s="303"/>
    </row>
    <row r="512" spans="9:10" ht="13.8" x14ac:dyDescent="0.45">
      <c r="I512" s="302"/>
      <c r="J512" s="303"/>
    </row>
    <row r="513" spans="9:10" ht="13.8" x14ac:dyDescent="0.45">
      <c r="I513" s="302"/>
      <c r="J513" s="303"/>
    </row>
    <row r="514" spans="9:10" ht="13.8" x14ac:dyDescent="0.45">
      <c r="I514" s="302"/>
      <c r="J514" s="303"/>
    </row>
    <row r="515" spans="9:10" ht="13.8" x14ac:dyDescent="0.45">
      <c r="I515" s="302"/>
      <c r="J515" s="303"/>
    </row>
    <row r="516" spans="9:10" ht="13.8" x14ac:dyDescent="0.45">
      <c r="I516" s="302"/>
      <c r="J516" s="303"/>
    </row>
    <row r="517" spans="9:10" ht="13.8" x14ac:dyDescent="0.45">
      <c r="I517" s="302"/>
      <c r="J517" s="303"/>
    </row>
    <row r="518" spans="9:10" ht="13.8" x14ac:dyDescent="0.45">
      <c r="I518" s="302"/>
      <c r="J518" s="303"/>
    </row>
    <row r="519" spans="9:10" ht="13.8" x14ac:dyDescent="0.45">
      <c r="I519" s="302"/>
      <c r="J519" s="303"/>
    </row>
    <row r="520" spans="9:10" ht="13.8" x14ac:dyDescent="0.45">
      <c r="I520" s="302"/>
      <c r="J520" s="303"/>
    </row>
    <row r="521" spans="9:10" ht="13.8" x14ac:dyDescent="0.45">
      <c r="I521" s="302"/>
      <c r="J521" s="303"/>
    </row>
    <row r="522" spans="9:10" ht="13.8" x14ac:dyDescent="0.45">
      <c r="I522" s="302"/>
      <c r="J522" s="303"/>
    </row>
    <row r="523" spans="9:10" ht="13.8" x14ac:dyDescent="0.45">
      <c r="I523" s="302"/>
      <c r="J523" s="303"/>
    </row>
    <row r="524" spans="9:10" ht="13.8" x14ac:dyDescent="0.45">
      <c r="I524" s="302"/>
      <c r="J524" s="303"/>
    </row>
    <row r="525" spans="9:10" ht="13.8" x14ac:dyDescent="0.45">
      <c r="I525" s="302"/>
      <c r="J525" s="303"/>
    </row>
    <row r="526" spans="9:10" ht="13.8" x14ac:dyDescent="0.45">
      <c r="I526" s="302"/>
      <c r="J526" s="303"/>
    </row>
    <row r="527" spans="9:10" ht="13.8" x14ac:dyDescent="0.45">
      <c r="I527" s="302"/>
      <c r="J527" s="303"/>
    </row>
    <row r="528" spans="9:10" ht="13.8" x14ac:dyDescent="0.45">
      <c r="I528" s="302"/>
      <c r="J528" s="303"/>
    </row>
    <row r="529" spans="9:10" ht="13.8" x14ac:dyDescent="0.45">
      <c r="I529" s="302"/>
      <c r="J529" s="303"/>
    </row>
    <row r="530" spans="9:10" ht="13.8" x14ac:dyDescent="0.45">
      <c r="I530" s="302"/>
      <c r="J530" s="303"/>
    </row>
    <row r="531" spans="9:10" ht="13.8" x14ac:dyDescent="0.45">
      <c r="I531" s="302"/>
      <c r="J531" s="303"/>
    </row>
    <row r="532" spans="9:10" ht="13.8" x14ac:dyDescent="0.45">
      <c r="I532" s="302"/>
      <c r="J532" s="303"/>
    </row>
    <row r="533" spans="9:10" ht="13.8" x14ac:dyDescent="0.45">
      <c r="I533" s="302"/>
      <c r="J533" s="303"/>
    </row>
    <row r="534" spans="9:10" ht="13.8" x14ac:dyDescent="0.45">
      <c r="I534" s="302"/>
      <c r="J534" s="303"/>
    </row>
    <row r="535" spans="9:10" ht="13.8" x14ac:dyDescent="0.45">
      <c r="I535" s="302"/>
      <c r="J535" s="303"/>
    </row>
    <row r="536" spans="9:10" ht="13.8" x14ac:dyDescent="0.45">
      <c r="I536" s="302"/>
      <c r="J536" s="303"/>
    </row>
    <row r="537" spans="9:10" ht="13.8" x14ac:dyDescent="0.45">
      <c r="I537" s="302"/>
      <c r="J537" s="303"/>
    </row>
    <row r="538" spans="9:10" ht="13.8" x14ac:dyDescent="0.45">
      <c r="I538" s="302"/>
      <c r="J538" s="303"/>
    </row>
    <row r="539" spans="9:10" ht="13.8" x14ac:dyDescent="0.45">
      <c r="I539" s="302"/>
      <c r="J539" s="303"/>
    </row>
    <row r="540" spans="9:10" ht="13.8" x14ac:dyDescent="0.45">
      <c r="I540" s="302"/>
      <c r="J540" s="303"/>
    </row>
    <row r="541" spans="9:10" ht="13.8" x14ac:dyDescent="0.45">
      <c r="I541" s="302"/>
      <c r="J541" s="303"/>
    </row>
    <row r="542" spans="9:10" ht="13.8" x14ac:dyDescent="0.45">
      <c r="I542" s="302"/>
      <c r="J542" s="303"/>
    </row>
    <row r="543" spans="9:10" ht="13.8" x14ac:dyDescent="0.45">
      <c r="I543" s="302"/>
      <c r="J543" s="303"/>
    </row>
    <row r="544" spans="9:10" ht="13.8" x14ac:dyDescent="0.45">
      <c r="I544" s="302"/>
      <c r="J544" s="303"/>
    </row>
    <row r="545" spans="9:10" ht="13.8" x14ac:dyDescent="0.45">
      <c r="I545" s="302"/>
      <c r="J545" s="303"/>
    </row>
    <row r="546" spans="9:10" ht="13.8" x14ac:dyDescent="0.45">
      <c r="I546" s="302"/>
      <c r="J546" s="303"/>
    </row>
    <row r="547" spans="9:10" ht="13.8" x14ac:dyDescent="0.45">
      <c r="I547" s="302"/>
      <c r="J547" s="303"/>
    </row>
    <row r="548" spans="9:10" ht="13.8" x14ac:dyDescent="0.45">
      <c r="I548" s="302"/>
      <c r="J548" s="303"/>
    </row>
    <row r="549" spans="9:10" ht="13.8" x14ac:dyDescent="0.45">
      <c r="I549" s="302"/>
      <c r="J549" s="303"/>
    </row>
    <row r="550" spans="9:10" ht="13.8" x14ac:dyDescent="0.45">
      <c r="I550" s="302"/>
      <c r="J550" s="303"/>
    </row>
    <row r="551" spans="9:10" ht="13.8" x14ac:dyDescent="0.45">
      <c r="I551" s="302"/>
      <c r="J551" s="303"/>
    </row>
    <row r="552" spans="9:10" ht="13.8" x14ac:dyDescent="0.45">
      <c r="I552" s="302"/>
      <c r="J552" s="303"/>
    </row>
    <row r="553" spans="9:10" ht="13.8" x14ac:dyDescent="0.45">
      <c r="I553" s="302"/>
      <c r="J553" s="303"/>
    </row>
    <row r="554" spans="9:10" ht="13.8" x14ac:dyDescent="0.45">
      <c r="I554" s="302"/>
      <c r="J554" s="303"/>
    </row>
    <row r="555" spans="9:10" ht="13.8" x14ac:dyDescent="0.45">
      <c r="I555" s="302"/>
      <c r="J555" s="303"/>
    </row>
    <row r="556" spans="9:10" ht="13.8" x14ac:dyDescent="0.45">
      <c r="I556" s="302"/>
      <c r="J556" s="303"/>
    </row>
    <row r="557" spans="9:10" ht="13.8" x14ac:dyDescent="0.45">
      <c r="I557" s="302"/>
      <c r="J557" s="303"/>
    </row>
    <row r="558" spans="9:10" ht="13.8" x14ac:dyDescent="0.45">
      <c r="I558" s="302"/>
      <c r="J558" s="303"/>
    </row>
    <row r="559" spans="9:10" ht="13.8" x14ac:dyDescent="0.45">
      <c r="I559" s="302"/>
      <c r="J559" s="303"/>
    </row>
    <row r="560" spans="9:10" ht="13.8" x14ac:dyDescent="0.45">
      <c r="I560" s="302"/>
      <c r="J560" s="303"/>
    </row>
    <row r="561" spans="9:10" ht="13.8" x14ac:dyDescent="0.45">
      <c r="I561" s="302"/>
      <c r="J561" s="303"/>
    </row>
    <row r="562" spans="9:10" ht="13.8" x14ac:dyDescent="0.45">
      <c r="I562" s="302"/>
      <c r="J562" s="303"/>
    </row>
    <row r="563" spans="9:10" ht="13.8" x14ac:dyDescent="0.45">
      <c r="I563" s="302"/>
      <c r="J563" s="303"/>
    </row>
    <row r="564" spans="9:10" ht="13.8" x14ac:dyDescent="0.45">
      <c r="I564" s="302"/>
      <c r="J564" s="303"/>
    </row>
    <row r="565" spans="9:10" ht="13.8" x14ac:dyDescent="0.45">
      <c r="I565" s="302"/>
      <c r="J565" s="303"/>
    </row>
    <row r="566" spans="9:10" ht="13.8" x14ac:dyDescent="0.45">
      <c r="I566" s="302"/>
      <c r="J566" s="303"/>
    </row>
    <row r="567" spans="9:10" ht="13.8" x14ac:dyDescent="0.45">
      <c r="I567" s="302"/>
      <c r="J567" s="303"/>
    </row>
    <row r="568" spans="9:10" ht="13.8" x14ac:dyDescent="0.45">
      <c r="I568" s="302"/>
      <c r="J568" s="303"/>
    </row>
    <row r="569" spans="9:10" ht="13.8" x14ac:dyDescent="0.45">
      <c r="I569" s="302"/>
      <c r="J569" s="303"/>
    </row>
    <row r="570" spans="9:10" ht="13.8" x14ac:dyDescent="0.45">
      <c r="I570" s="302"/>
      <c r="J570" s="303"/>
    </row>
    <row r="571" spans="9:10" ht="13.8" x14ac:dyDescent="0.45">
      <c r="I571" s="302"/>
      <c r="J571" s="303"/>
    </row>
    <row r="572" spans="9:10" ht="13.8" x14ac:dyDescent="0.45">
      <c r="I572" s="302"/>
      <c r="J572" s="303"/>
    </row>
    <row r="573" spans="9:10" ht="13.8" x14ac:dyDescent="0.45">
      <c r="I573" s="302"/>
      <c r="J573" s="303"/>
    </row>
    <row r="574" spans="9:10" ht="13.8" x14ac:dyDescent="0.45">
      <c r="I574" s="302"/>
      <c r="J574" s="303"/>
    </row>
    <row r="575" spans="9:10" ht="13.8" x14ac:dyDescent="0.45">
      <c r="I575" s="302"/>
      <c r="J575" s="303"/>
    </row>
    <row r="576" spans="9:10" ht="13.8" x14ac:dyDescent="0.45">
      <c r="I576" s="302"/>
      <c r="J576" s="303"/>
    </row>
    <row r="577" spans="9:10" ht="13.8" x14ac:dyDescent="0.45">
      <c r="I577" s="302"/>
      <c r="J577" s="303"/>
    </row>
    <row r="578" spans="9:10" ht="13.8" x14ac:dyDescent="0.45">
      <c r="I578" s="302"/>
      <c r="J578" s="303"/>
    </row>
    <row r="579" spans="9:10" ht="13.8" x14ac:dyDescent="0.45">
      <c r="I579" s="302"/>
      <c r="J579" s="303"/>
    </row>
    <row r="580" spans="9:10" ht="13.8" x14ac:dyDescent="0.45">
      <c r="I580" s="302"/>
      <c r="J580" s="303"/>
    </row>
    <row r="581" spans="9:10" ht="13.8" x14ac:dyDescent="0.45">
      <c r="I581" s="302"/>
      <c r="J581" s="303"/>
    </row>
    <row r="582" spans="9:10" ht="13.8" x14ac:dyDescent="0.45">
      <c r="I582" s="302"/>
      <c r="J582" s="303"/>
    </row>
    <row r="583" spans="9:10" ht="13.8" x14ac:dyDescent="0.45">
      <c r="I583" s="302"/>
      <c r="J583" s="303"/>
    </row>
    <row r="584" spans="9:10" ht="13.8" x14ac:dyDescent="0.45">
      <c r="I584" s="302"/>
      <c r="J584" s="303"/>
    </row>
    <row r="585" spans="9:10" ht="13.8" x14ac:dyDescent="0.45">
      <c r="I585" s="302"/>
      <c r="J585" s="303"/>
    </row>
    <row r="586" spans="9:10" ht="13.8" x14ac:dyDescent="0.45">
      <c r="I586" s="302"/>
      <c r="J586" s="303"/>
    </row>
    <row r="587" spans="9:10" ht="13.8" x14ac:dyDescent="0.45">
      <c r="I587" s="302"/>
      <c r="J587" s="303"/>
    </row>
    <row r="588" spans="9:10" ht="13.8" x14ac:dyDescent="0.45">
      <c r="I588" s="302"/>
      <c r="J588" s="303"/>
    </row>
    <row r="589" spans="9:10" ht="13.8" x14ac:dyDescent="0.45">
      <c r="I589" s="302"/>
      <c r="J589" s="303"/>
    </row>
    <row r="590" spans="9:10" ht="13.8" x14ac:dyDescent="0.45">
      <c r="I590" s="302"/>
      <c r="J590" s="303"/>
    </row>
    <row r="591" spans="9:10" ht="13.8" x14ac:dyDescent="0.45">
      <c r="I591" s="302"/>
      <c r="J591" s="303"/>
    </row>
    <row r="592" spans="9:10" ht="13.8" x14ac:dyDescent="0.45">
      <c r="I592" s="302"/>
      <c r="J592" s="303"/>
    </row>
    <row r="593" spans="9:10" ht="13.8" x14ac:dyDescent="0.45">
      <c r="I593" s="302"/>
      <c r="J593" s="303"/>
    </row>
    <row r="594" spans="9:10" ht="13.8" x14ac:dyDescent="0.45">
      <c r="I594" s="302"/>
      <c r="J594" s="303"/>
    </row>
    <row r="595" spans="9:10" ht="13.8" x14ac:dyDescent="0.45">
      <c r="I595" s="302"/>
      <c r="J595" s="303"/>
    </row>
    <row r="596" spans="9:10" ht="13.8" x14ac:dyDescent="0.45">
      <c r="I596" s="302"/>
      <c r="J596" s="303"/>
    </row>
    <row r="597" spans="9:10" ht="13.8" x14ac:dyDescent="0.45">
      <c r="I597" s="302"/>
      <c r="J597" s="303"/>
    </row>
    <row r="598" spans="9:10" ht="13.8" x14ac:dyDescent="0.45">
      <c r="I598" s="302"/>
      <c r="J598" s="303"/>
    </row>
    <row r="599" spans="9:10" ht="13.8" x14ac:dyDescent="0.45">
      <c r="I599" s="302"/>
      <c r="J599" s="303"/>
    </row>
    <row r="600" spans="9:10" ht="13.8" x14ac:dyDescent="0.45">
      <c r="I600" s="302"/>
      <c r="J600" s="303"/>
    </row>
    <row r="601" spans="9:10" ht="13.8" x14ac:dyDescent="0.45">
      <c r="I601" s="302"/>
      <c r="J601" s="303"/>
    </row>
    <row r="602" spans="9:10" ht="13.8" x14ac:dyDescent="0.45">
      <c r="I602" s="302"/>
      <c r="J602" s="303"/>
    </row>
    <row r="603" spans="9:10" ht="13.8" x14ac:dyDescent="0.45">
      <c r="I603" s="302"/>
      <c r="J603" s="303"/>
    </row>
    <row r="604" spans="9:10" ht="13.8" x14ac:dyDescent="0.45">
      <c r="I604" s="302"/>
      <c r="J604" s="303"/>
    </row>
    <row r="605" spans="9:10" ht="13.8" x14ac:dyDescent="0.45">
      <c r="I605" s="302"/>
      <c r="J605" s="303"/>
    </row>
    <row r="606" spans="9:10" ht="13.8" x14ac:dyDescent="0.45">
      <c r="I606" s="302"/>
      <c r="J606" s="303"/>
    </row>
    <row r="607" spans="9:10" ht="13.8" x14ac:dyDescent="0.45">
      <c r="I607" s="302"/>
      <c r="J607" s="303"/>
    </row>
    <row r="608" spans="9:10" ht="13.8" x14ac:dyDescent="0.45">
      <c r="I608" s="302"/>
      <c r="J608" s="303"/>
    </row>
    <row r="609" spans="9:10" ht="13.8" x14ac:dyDescent="0.45">
      <c r="I609" s="302"/>
      <c r="J609" s="303"/>
    </row>
    <row r="610" spans="9:10" ht="13.8" x14ac:dyDescent="0.45">
      <c r="I610" s="302"/>
      <c r="J610" s="303"/>
    </row>
    <row r="611" spans="9:10" ht="13.8" x14ac:dyDescent="0.45">
      <c r="I611" s="302"/>
      <c r="J611" s="303"/>
    </row>
    <row r="612" spans="9:10" ht="13.8" x14ac:dyDescent="0.45">
      <c r="I612" s="302"/>
      <c r="J612" s="303"/>
    </row>
    <row r="613" spans="9:10" ht="13.8" x14ac:dyDescent="0.45">
      <c r="I613" s="302"/>
      <c r="J613" s="303"/>
    </row>
    <row r="614" spans="9:10" ht="13.8" x14ac:dyDescent="0.45">
      <c r="I614" s="302"/>
      <c r="J614" s="303"/>
    </row>
    <row r="615" spans="9:10" ht="13.8" x14ac:dyDescent="0.45">
      <c r="I615" s="302"/>
      <c r="J615" s="303"/>
    </row>
    <row r="616" spans="9:10" ht="13.8" x14ac:dyDescent="0.45">
      <c r="I616" s="302"/>
      <c r="J616" s="303"/>
    </row>
    <row r="617" spans="9:10" ht="13.8" x14ac:dyDescent="0.45">
      <c r="I617" s="302"/>
      <c r="J617" s="303"/>
    </row>
    <row r="618" spans="9:10" ht="13.8" x14ac:dyDescent="0.45">
      <c r="I618" s="302"/>
      <c r="J618" s="303"/>
    </row>
    <row r="619" spans="9:10" ht="13.8" x14ac:dyDescent="0.45">
      <c r="I619" s="302"/>
      <c r="J619" s="303"/>
    </row>
    <row r="620" spans="9:10" ht="13.8" x14ac:dyDescent="0.45">
      <c r="I620" s="302"/>
      <c r="J620" s="303"/>
    </row>
    <row r="621" spans="9:10" ht="13.8" x14ac:dyDescent="0.45">
      <c r="I621" s="302"/>
      <c r="J621" s="303"/>
    </row>
    <row r="622" spans="9:10" ht="13.8" x14ac:dyDescent="0.45">
      <c r="I622" s="302"/>
      <c r="J622" s="303"/>
    </row>
    <row r="623" spans="9:10" ht="13.8" x14ac:dyDescent="0.45">
      <c r="I623" s="302"/>
      <c r="J623" s="303"/>
    </row>
    <row r="624" spans="9:10" ht="13.8" x14ac:dyDescent="0.45">
      <c r="I624" s="302"/>
      <c r="J624" s="303"/>
    </row>
    <row r="625" spans="9:10" ht="13.8" x14ac:dyDescent="0.45">
      <c r="I625" s="302"/>
      <c r="J625" s="303"/>
    </row>
    <row r="626" spans="9:10" ht="13.8" x14ac:dyDescent="0.45">
      <c r="I626" s="302"/>
      <c r="J626" s="303"/>
    </row>
    <row r="627" spans="9:10" ht="13.8" x14ac:dyDescent="0.45">
      <c r="I627" s="302"/>
      <c r="J627" s="303"/>
    </row>
    <row r="628" spans="9:10" ht="13.8" x14ac:dyDescent="0.45">
      <c r="I628" s="302"/>
      <c r="J628" s="303"/>
    </row>
    <row r="629" spans="9:10" ht="13.8" x14ac:dyDescent="0.45">
      <c r="I629" s="302"/>
      <c r="J629" s="303"/>
    </row>
    <row r="630" spans="9:10" ht="13.8" x14ac:dyDescent="0.45">
      <c r="I630" s="302"/>
      <c r="J630" s="303"/>
    </row>
    <row r="631" spans="9:10" ht="13.8" x14ac:dyDescent="0.45">
      <c r="I631" s="302"/>
      <c r="J631" s="303"/>
    </row>
    <row r="632" spans="9:10" ht="13.8" x14ac:dyDescent="0.45">
      <c r="I632" s="302"/>
      <c r="J632" s="303"/>
    </row>
    <row r="633" spans="9:10" ht="13.8" x14ac:dyDescent="0.45">
      <c r="I633" s="302"/>
      <c r="J633" s="303"/>
    </row>
    <row r="634" spans="9:10" ht="13.8" x14ac:dyDescent="0.45">
      <c r="I634" s="302"/>
      <c r="J634" s="303"/>
    </row>
    <row r="635" spans="9:10" ht="13.8" x14ac:dyDescent="0.45">
      <c r="I635" s="302"/>
      <c r="J635" s="303"/>
    </row>
    <row r="636" spans="9:10" ht="13.8" x14ac:dyDescent="0.45">
      <c r="I636" s="302"/>
      <c r="J636" s="303"/>
    </row>
    <row r="637" spans="9:10" ht="13.8" x14ac:dyDescent="0.45">
      <c r="I637" s="302"/>
      <c r="J637" s="303"/>
    </row>
    <row r="638" spans="9:10" ht="13.8" x14ac:dyDescent="0.45">
      <c r="I638" s="302"/>
      <c r="J638" s="303"/>
    </row>
    <row r="639" spans="9:10" ht="13.8" x14ac:dyDescent="0.45">
      <c r="I639" s="302"/>
      <c r="J639" s="303"/>
    </row>
    <row r="640" spans="9:10" ht="13.8" x14ac:dyDescent="0.45">
      <c r="I640" s="302"/>
      <c r="J640" s="303"/>
    </row>
    <row r="641" spans="9:10" ht="13.8" x14ac:dyDescent="0.45">
      <c r="I641" s="302"/>
      <c r="J641" s="303"/>
    </row>
    <row r="642" spans="9:10" ht="13.8" x14ac:dyDescent="0.45">
      <c r="I642" s="302"/>
      <c r="J642" s="303"/>
    </row>
    <row r="643" spans="9:10" ht="13.8" x14ac:dyDescent="0.45">
      <c r="I643" s="302"/>
      <c r="J643" s="303"/>
    </row>
    <row r="644" spans="9:10" ht="13.8" x14ac:dyDescent="0.45">
      <c r="I644" s="302"/>
      <c r="J644" s="303"/>
    </row>
    <row r="645" spans="9:10" ht="13.8" x14ac:dyDescent="0.45">
      <c r="I645" s="302"/>
      <c r="J645" s="303"/>
    </row>
    <row r="646" spans="9:10" ht="13.8" x14ac:dyDescent="0.45">
      <c r="I646" s="302"/>
      <c r="J646" s="303"/>
    </row>
    <row r="647" spans="9:10" ht="13.8" x14ac:dyDescent="0.45">
      <c r="I647" s="302"/>
      <c r="J647" s="303"/>
    </row>
    <row r="648" spans="9:10" ht="13.8" x14ac:dyDescent="0.45">
      <c r="I648" s="302"/>
      <c r="J648" s="303"/>
    </row>
    <row r="649" spans="9:10" ht="13.8" x14ac:dyDescent="0.45">
      <c r="I649" s="302"/>
      <c r="J649" s="303"/>
    </row>
    <row r="650" spans="9:10" ht="13.8" x14ac:dyDescent="0.45">
      <c r="I650" s="302"/>
      <c r="J650" s="303"/>
    </row>
    <row r="651" spans="9:10" ht="13.8" x14ac:dyDescent="0.45">
      <c r="I651" s="302"/>
      <c r="J651" s="303"/>
    </row>
    <row r="652" spans="9:10" ht="13.8" x14ac:dyDescent="0.45">
      <c r="I652" s="302"/>
      <c r="J652" s="303"/>
    </row>
    <row r="653" spans="9:10" ht="13.8" x14ac:dyDescent="0.45">
      <c r="I653" s="302"/>
      <c r="J653" s="303"/>
    </row>
    <row r="654" spans="9:10" ht="13.8" x14ac:dyDescent="0.45">
      <c r="I654" s="302"/>
      <c r="J654" s="303"/>
    </row>
    <row r="655" spans="9:10" ht="13.8" x14ac:dyDescent="0.45">
      <c r="I655" s="302"/>
      <c r="J655" s="303"/>
    </row>
    <row r="656" spans="9:10" ht="13.8" x14ac:dyDescent="0.45">
      <c r="I656" s="302"/>
      <c r="J656" s="303"/>
    </row>
    <row r="657" spans="9:10" ht="13.8" x14ac:dyDescent="0.45">
      <c r="I657" s="302"/>
      <c r="J657" s="303"/>
    </row>
    <row r="658" spans="9:10" ht="13.8" x14ac:dyDescent="0.45">
      <c r="I658" s="302"/>
      <c r="J658" s="303"/>
    </row>
    <row r="659" spans="9:10" ht="13.8" x14ac:dyDescent="0.45">
      <c r="I659" s="302"/>
      <c r="J659" s="303"/>
    </row>
    <row r="660" spans="9:10" ht="13.8" x14ac:dyDescent="0.45">
      <c r="I660" s="302"/>
      <c r="J660" s="303"/>
    </row>
    <row r="661" spans="9:10" ht="13.8" x14ac:dyDescent="0.45">
      <c r="I661" s="302"/>
      <c r="J661" s="303"/>
    </row>
    <row r="662" spans="9:10" ht="13.8" x14ac:dyDescent="0.45">
      <c r="I662" s="302"/>
      <c r="J662" s="303"/>
    </row>
    <row r="663" spans="9:10" ht="13.8" x14ac:dyDescent="0.45">
      <c r="I663" s="302"/>
      <c r="J663" s="303"/>
    </row>
    <row r="664" spans="9:10" ht="13.8" x14ac:dyDescent="0.45">
      <c r="I664" s="302"/>
      <c r="J664" s="303"/>
    </row>
    <row r="665" spans="9:10" ht="13.8" x14ac:dyDescent="0.45">
      <c r="I665" s="302"/>
      <c r="J665" s="303"/>
    </row>
    <row r="666" spans="9:10" ht="13.8" x14ac:dyDescent="0.45">
      <c r="I666" s="302"/>
      <c r="J666" s="303"/>
    </row>
    <row r="667" spans="9:10" ht="13.8" x14ac:dyDescent="0.45">
      <c r="I667" s="302"/>
      <c r="J667" s="303"/>
    </row>
    <row r="668" spans="9:10" ht="13.8" x14ac:dyDescent="0.45">
      <c r="I668" s="302"/>
      <c r="J668" s="303"/>
    </row>
    <row r="669" spans="9:10" ht="13.8" x14ac:dyDescent="0.45">
      <c r="I669" s="302"/>
      <c r="J669" s="303"/>
    </row>
    <row r="670" spans="9:10" ht="13.8" x14ac:dyDescent="0.45">
      <c r="I670" s="302"/>
      <c r="J670" s="303"/>
    </row>
    <row r="671" spans="9:10" ht="13.8" x14ac:dyDescent="0.45">
      <c r="I671" s="302"/>
      <c r="J671" s="303"/>
    </row>
    <row r="672" spans="9:10" ht="13.8" x14ac:dyDescent="0.45">
      <c r="I672" s="302"/>
      <c r="J672" s="303"/>
    </row>
    <row r="673" spans="9:10" ht="13.8" x14ac:dyDescent="0.45">
      <c r="I673" s="302"/>
      <c r="J673" s="303"/>
    </row>
    <row r="674" spans="9:10" ht="13.8" x14ac:dyDescent="0.45">
      <c r="I674" s="302"/>
      <c r="J674" s="303"/>
    </row>
    <row r="675" spans="9:10" ht="13.8" x14ac:dyDescent="0.45">
      <c r="I675" s="302"/>
      <c r="J675" s="303"/>
    </row>
    <row r="676" spans="9:10" ht="13.8" x14ac:dyDescent="0.45">
      <c r="I676" s="302"/>
      <c r="J676" s="303"/>
    </row>
    <row r="677" spans="9:10" ht="13.8" x14ac:dyDescent="0.45">
      <c r="I677" s="302"/>
      <c r="J677" s="303"/>
    </row>
    <row r="678" spans="9:10" ht="13.8" x14ac:dyDescent="0.45">
      <c r="I678" s="302"/>
      <c r="J678" s="303"/>
    </row>
    <row r="679" spans="9:10" ht="13.8" x14ac:dyDescent="0.45">
      <c r="I679" s="302"/>
      <c r="J679" s="303"/>
    </row>
    <row r="680" spans="9:10" ht="13.8" x14ac:dyDescent="0.45">
      <c r="I680" s="302"/>
      <c r="J680" s="303"/>
    </row>
    <row r="681" spans="9:10" ht="13.8" x14ac:dyDescent="0.45">
      <c r="I681" s="302"/>
      <c r="J681" s="303"/>
    </row>
    <row r="682" spans="9:10" ht="13.8" x14ac:dyDescent="0.45">
      <c r="I682" s="302"/>
      <c r="J682" s="303"/>
    </row>
    <row r="683" spans="9:10" ht="13.8" x14ac:dyDescent="0.45">
      <c r="I683" s="302"/>
      <c r="J683" s="303"/>
    </row>
    <row r="684" spans="9:10" ht="13.8" x14ac:dyDescent="0.45">
      <c r="I684" s="302"/>
      <c r="J684" s="303"/>
    </row>
    <row r="685" spans="9:10" ht="13.8" x14ac:dyDescent="0.45">
      <c r="I685" s="302"/>
      <c r="J685" s="303"/>
    </row>
    <row r="686" spans="9:10" ht="13.8" x14ac:dyDescent="0.45">
      <c r="I686" s="302"/>
      <c r="J686" s="303"/>
    </row>
    <row r="687" spans="9:10" ht="13.8" x14ac:dyDescent="0.45">
      <c r="I687" s="302"/>
      <c r="J687" s="303"/>
    </row>
    <row r="688" spans="9:10" ht="13.8" x14ac:dyDescent="0.45">
      <c r="I688" s="302"/>
      <c r="J688" s="303"/>
    </row>
    <row r="689" spans="9:10" ht="13.8" x14ac:dyDescent="0.45">
      <c r="I689" s="302"/>
      <c r="J689" s="303"/>
    </row>
    <row r="690" spans="9:10" ht="13.8" x14ac:dyDescent="0.45">
      <c r="I690" s="302"/>
      <c r="J690" s="303"/>
    </row>
    <row r="691" spans="9:10" ht="13.8" x14ac:dyDescent="0.45">
      <c r="I691" s="302"/>
      <c r="J691" s="303"/>
    </row>
    <row r="692" spans="9:10" ht="13.8" x14ac:dyDescent="0.45">
      <c r="I692" s="302"/>
      <c r="J692" s="303"/>
    </row>
    <row r="693" spans="9:10" ht="13.8" x14ac:dyDescent="0.45">
      <c r="I693" s="302"/>
      <c r="J693" s="303"/>
    </row>
    <row r="694" spans="9:10" ht="13.8" x14ac:dyDescent="0.45">
      <c r="I694" s="302"/>
      <c r="J694" s="303"/>
    </row>
    <row r="695" spans="9:10" ht="13.8" x14ac:dyDescent="0.45">
      <c r="I695" s="302"/>
      <c r="J695" s="303"/>
    </row>
    <row r="696" spans="9:10" ht="13.8" x14ac:dyDescent="0.45">
      <c r="I696" s="302"/>
      <c r="J696" s="303"/>
    </row>
    <row r="697" spans="9:10" ht="13.8" x14ac:dyDescent="0.45">
      <c r="I697" s="302"/>
      <c r="J697" s="303"/>
    </row>
    <row r="698" spans="9:10" ht="13.8" x14ac:dyDescent="0.45">
      <c r="I698" s="302"/>
      <c r="J698" s="303"/>
    </row>
    <row r="699" spans="9:10" ht="13.8" x14ac:dyDescent="0.45">
      <c r="I699" s="302"/>
      <c r="J699" s="303"/>
    </row>
    <row r="700" spans="9:10" ht="13.8" x14ac:dyDescent="0.45">
      <c r="I700" s="302"/>
      <c r="J700" s="303"/>
    </row>
    <row r="701" spans="9:10" ht="13.8" x14ac:dyDescent="0.45">
      <c r="I701" s="302"/>
      <c r="J701" s="303"/>
    </row>
    <row r="702" spans="9:10" ht="13.8" x14ac:dyDescent="0.45">
      <c r="I702" s="302"/>
      <c r="J702" s="303"/>
    </row>
    <row r="703" spans="9:10" ht="13.8" x14ac:dyDescent="0.45">
      <c r="I703" s="302"/>
      <c r="J703" s="303"/>
    </row>
    <row r="704" spans="9:10" ht="13.8" x14ac:dyDescent="0.45">
      <c r="I704" s="302"/>
      <c r="J704" s="303"/>
    </row>
    <row r="705" spans="9:10" ht="13.8" x14ac:dyDescent="0.45">
      <c r="I705" s="302"/>
      <c r="J705" s="303"/>
    </row>
    <row r="706" spans="9:10" ht="13.8" x14ac:dyDescent="0.45">
      <c r="I706" s="302"/>
      <c r="J706" s="303"/>
    </row>
    <row r="707" spans="9:10" ht="13.8" x14ac:dyDescent="0.45">
      <c r="I707" s="302"/>
      <c r="J707" s="303"/>
    </row>
    <row r="708" spans="9:10" ht="13.8" x14ac:dyDescent="0.45">
      <c r="I708" s="302"/>
      <c r="J708" s="303"/>
    </row>
    <row r="709" spans="9:10" ht="13.8" x14ac:dyDescent="0.45">
      <c r="I709" s="302"/>
      <c r="J709" s="303"/>
    </row>
    <row r="710" spans="9:10" ht="13.8" x14ac:dyDescent="0.45">
      <c r="I710" s="302"/>
      <c r="J710" s="303"/>
    </row>
    <row r="711" spans="9:10" ht="13.8" x14ac:dyDescent="0.45">
      <c r="I711" s="302"/>
      <c r="J711" s="303"/>
    </row>
    <row r="712" spans="9:10" ht="13.8" x14ac:dyDescent="0.45">
      <c r="I712" s="302"/>
      <c r="J712" s="303"/>
    </row>
    <row r="713" spans="9:10" ht="13.8" x14ac:dyDescent="0.45">
      <c r="I713" s="302"/>
      <c r="J713" s="303"/>
    </row>
    <row r="714" spans="9:10" ht="13.8" x14ac:dyDescent="0.45">
      <c r="I714" s="302"/>
      <c r="J714" s="303"/>
    </row>
    <row r="715" spans="9:10" ht="13.8" x14ac:dyDescent="0.45">
      <c r="I715" s="302"/>
      <c r="J715" s="303"/>
    </row>
    <row r="716" spans="9:10" ht="13.8" x14ac:dyDescent="0.45">
      <c r="I716" s="302"/>
      <c r="J716" s="303"/>
    </row>
    <row r="717" spans="9:10" ht="13.8" x14ac:dyDescent="0.45">
      <c r="I717" s="302"/>
      <c r="J717" s="303"/>
    </row>
    <row r="718" spans="9:10" ht="13.8" x14ac:dyDescent="0.45">
      <c r="I718" s="302"/>
      <c r="J718" s="303"/>
    </row>
    <row r="719" spans="9:10" ht="13.8" x14ac:dyDescent="0.45">
      <c r="I719" s="302"/>
      <c r="J719" s="303"/>
    </row>
    <row r="720" spans="9:10" ht="13.8" x14ac:dyDescent="0.45">
      <c r="I720" s="302"/>
      <c r="J720" s="303"/>
    </row>
    <row r="721" spans="9:10" ht="13.8" x14ac:dyDescent="0.45">
      <c r="I721" s="302"/>
      <c r="J721" s="303"/>
    </row>
    <row r="722" spans="9:10" ht="13.8" x14ac:dyDescent="0.45">
      <c r="I722" s="302"/>
      <c r="J722" s="303"/>
    </row>
    <row r="723" spans="9:10" ht="13.8" x14ac:dyDescent="0.45">
      <c r="I723" s="302"/>
      <c r="J723" s="303"/>
    </row>
    <row r="724" spans="9:10" ht="13.8" x14ac:dyDescent="0.45">
      <c r="I724" s="302"/>
      <c r="J724" s="303"/>
    </row>
    <row r="725" spans="9:10" ht="13.8" x14ac:dyDescent="0.45">
      <c r="I725" s="302"/>
      <c r="J725" s="303"/>
    </row>
    <row r="726" spans="9:10" ht="13.8" x14ac:dyDescent="0.45">
      <c r="I726" s="302"/>
      <c r="J726" s="303"/>
    </row>
    <row r="727" spans="9:10" ht="13.8" x14ac:dyDescent="0.45">
      <c r="I727" s="302"/>
      <c r="J727" s="303"/>
    </row>
    <row r="728" spans="9:10" ht="13.8" x14ac:dyDescent="0.45">
      <c r="I728" s="302"/>
      <c r="J728" s="303"/>
    </row>
    <row r="729" spans="9:10" ht="13.8" x14ac:dyDescent="0.45">
      <c r="I729" s="302"/>
      <c r="J729" s="303"/>
    </row>
    <row r="730" spans="9:10" ht="13.8" x14ac:dyDescent="0.45">
      <c r="I730" s="302"/>
      <c r="J730" s="303"/>
    </row>
    <row r="731" spans="9:10" ht="13.8" x14ac:dyDescent="0.45">
      <c r="I731" s="302"/>
      <c r="J731" s="303"/>
    </row>
    <row r="732" spans="9:10" ht="13.8" x14ac:dyDescent="0.45">
      <c r="I732" s="302"/>
      <c r="J732" s="303"/>
    </row>
    <row r="733" spans="9:10" ht="13.8" x14ac:dyDescent="0.45">
      <c r="I733" s="302"/>
      <c r="J733" s="303"/>
    </row>
    <row r="734" spans="9:10" ht="13.8" x14ac:dyDescent="0.45">
      <c r="I734" s="302"/>
      <c r="J734" s="303"/>
    </row>
    <row r="735" spans="9:10" ht="13.8" x14ac:dyDescent="0.45">
      <c r="I735" s="302"/>
      <c r="J735" s="303"/>
    </row>
    <row r="736" spans="9:10" ht="13.8" x14ac:dyDescent="0.45">
      <c r="I736" s="302"/>
      <c r="J736" s="303"/>
    </row>
    <row r="737" spans="9:10" ht="13.8" x14ac:dyDescent="0.45">
      <c r="I737" s="302"/>
      <c r="J737" s="303"/>
    </row>
    <row r="738" spans="9:10" ht="13.8" x14ac:dyDescent="0.45">
      <c r="I738" s="302"/>
      <c r="J738" s="303"/>
    </row>
    <row r="739" spans="9:10" ht="13.8" x14ac:dyDescent="0.45">
      <c r="I739" s="302"/>
      <c r="J739" s="303"/>
    </row>
    <row r="740" spans="9:10" ht="13.8" x14ac:dyDescent="0.45">
      <c r="I740" s="302"/>
      <c r="J740" s="303"/>
    </row>
    <row r="741" spans="9:10" ht="13.8" x14ac:dyDescent="0.45">
      <c r="I741" s="302"/>
      <c r="J741" s="303"/>
    </row>
    <row r="742" spans="9:10" ht="13.8" x14ac:dyDescent="0.45">
      <c r="I742" s="302"/>
      <c r="J742" s="303"/>
    </row>
    <row r="743" spans="9:10" x14ac:dyDescent="0.4">
      <c r="J743" s="154"/>
    </row>
    <row r="744" spans="9:10" x14ac:dyDescent="0.4">
      <c r="J744" s="154"/>
    </row>
  </sheetData>
  <phoneticPr fontId="27" type="noConversion"/>
  <printOptions gridLines="1" gridLinesSet="0"/>
  <pageMargins left="0.78740157480314965" right="0.19685039370078741" top="0.59055118110236227" bottom="0.59055118110236227" header="0.51181102362204722" footer="0.31496062992125984"/>
  <pageSetup paperSize="9" scale="78" firstPageNumber="7" orientation="portrait" useFirstPageNumber="1" horizontalDpi="4294967292" r:id="rId1"/>
  <headerFooter alignWithMargins="0">
    <oddFooter>&amp;L&amp;D&amp;T
&amp;F&amp;CSeite: &amp;P&amp;RDeecke, Betriebsw. Büro Göttingen</oddFooter>
  </headerFooter>
  <rowBreaks count="2" manualBreakCount="2">
    <brk id="50" max="9" man="1"/>
    <brk id="105" max="9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1262"/>
  <sheetViews>
    <sheetView topLeftCell="A14" workbookViewId="0">
      <selection activeCell="J33" sqref="J33"/>
    </sheetView>
  </sheetViews>
  <sheetFormatPr baseColWidth="10" defaultColWidth="11.5" defaultRowHeight="10.5" x14ac:dyDescent="0.35"/>
  <cols>
    <col min="1" max="1" width="5.5" style="100" customWidth="1"/>
    <col min="2" max="2" width="19.5" style="11" customWidth="1"/>
    <col min="3" max="3" width="8.83203125" style="11" customWidth="1"/>
    <col min="4" max="10" width="8.5" style="11" customWidth="1"/>
    <col min="11" max="11" width="4.1640625" style="11" customWidth="1"/>
    <col min="12" max="16384" width="11.5" style="11"/>
  </cols>
  <sheetData>
    <row r="1" spans="1:12" ht="9.75" hidden="1" customHeight="1" x14ac:dyDescent="0.35"/>
    <row r="2" spans="1:12" customFormat="1" ht="17.7" x14ac:dyDescent="0.6">
      <c r="A2" s="235" t="s">
        <v>0</v>
      </c>
      <c r="B2" s="227"/>
      <c r="C2" s="227"/>
      <c r="D2" s="227"/>
      <c r="E2" s="227"/>
      <c r="F2" s="227"/>
      <c r="G2" s="227"/>
      <c r="H2" s="228"/>
      <c r="I2" s="492">
        <f ca="1">NOW()</f>
        <v>45772.509750462959</v>
      </c>
      <c r="J2" s="227"/>
    </row>
    <row r="3" spans="1:12" ht="11.25" customHeight="1" x14ac:dyDescent="0.4">
      <c r="A3" s="232"/>
      <c r="B3" s="135"/>
      <c r="C3" s="233"/>
      <c r="D3" s="204"/>
      <c r="E3" s="234"/>
      <c r="F3" s="234"/>
      <c r="G3" s="234"/>
      <c r="H3" s="234"/>
      <c r="I3" s="234"/>
      <c r="J3" s="234"/>
      <c r="L3"/>
    </row>
    <row r="4" spans="1:12" ht="11.25" customHeight="1" x14ac:dyDescent="0.35">
      <c r="A4" s="47"/>
    </row>
    <row r="5" spans="1:12" ht="15" x14ac:dyDescent="0.5">
      <c r="A5" s="210" t="s">
        <v>227</v>
      </c>
      <c r="B5" s="213" t="s">
        <v>228</v>
      </c>
      <c r="C5" s="409"/>
      <c r="D5" s="409"/>
      <c r="E5" s="211"/>
      <c r="F5" s="211"/>
      <c r="G5" s="211"/>
      <c r="H5" s="211"/>
      <c r="I5" s="409"/>
      <c r="J5" s="212"/>
    </row>
    <row r="6" spans="1:12" ht="15" x14ac:dyDescent="0.5">
      <c r="A6" s="251"/>
      <c r="B6" s="252"/>
      <c r="C6" s="390"/>
      <c r="D6" s="390"/>
      <c r="E6" s="17"/>
      <c r="F6" s="17"/>
      <c r="G6" s="17"/>
      <c r="H6" s="17"/>
      <c r="I6" s="390"/>
      <c r="J6"/>
    </row>
    <row r="7" spans="1:12" ht="11.25" customHeight="1" x14ac:dyDescent="0.4">
      <c r="A7" s="18" t="s">
        <v>15</v>
      </c>
      <c r="B7" s="19" t="s">
        <v>229</v>
      </c>
      <c r="C7" s="128" t="s">
        <v>230</v>
      </c>
      <c r="D7" s="19" t="s">
        <v>231</v>
      </c>
      <c r="E7" s="19" t="s">
        <v>22</v>
      </c>
      <c r="F7" s="19" t="s">
        <v>71</v>
      </c>
      <c r="G7" s="19" t="s">
        <v>74</v>
      </c>
      <c r="H7" s="20" t="s">
        <v>23</v>
      </c>
      <c r="I7" s="128" t="s">
        <v>25</v>
      </c>
      <c r="J7" s="21" t="s">
        <v>24</v>
      </c>
      <c r="K7"/>
      <c r="L7"/>
    </row>
    <row r="8" spans="1:12" ht="11.25" customHeight="1" x14ac:dyDescent="0.5">
      <c r="A8" s="22"/>
      <c r="B8" s="23"/>
      <c r="C8" s="24" t="s">
        <v>232</v>
      </c>
      <c r="D8" s="24" t="s">
        <v>233</v>
      </c>
      <c r="E8" s="24" t="s">
        <v>234</v>
      </c>
      <c r="F8" s="24" t="s">
        <v>234</v>
      </c>
      <c r="G8" s="24" t="s">
        <v>234</v>
      </c>
      <c r="H8" s="25" t="s">
        <v>234</v>
      </c>
      <c r="I8" s="24" t="s">
        <v>234</v>
      </c>
      <c r="J8" s="26" t="s">
        <v>234</v>
      </c>
      <c r="K8"/>
      <c r="L8" s="228"/>
    </row>
    <row r="9" spans="1:12" ht="11.25" customHeight="1" x14ac:dyDescent="0.4">
      <c r="A9" s="27">
        <v>1</v>
      </c>
      <c r="B9" s="28" t="str">
        <f>IF(A9&gt;0,VLOOKUP(A9,NährstofBedarf!$A$4:$J$90,2),"")</f>
        <v>W-Weizen</v>
      </c>
      <c r="C9" s="30">
        <v>103.33</v>
      </c>
      <c r="D9" s="29">
        <v>80</v>
      </c>
      <c r="E9" s="31">
        <f>IF($A9&gt;0,VLOOKUP($A9,NährstofBedarf!$A$4:$J$90,4)*$D9/10,0)</f>
        <v>192</v>
      </c>
      <c r="F9" s="31">
        <f>IF($A9&gt;0,VLOOKUP($A9,NährstofBedarf!$A$4:$J$90,5)*$D9/10,0)</f>
        <v>60.496303999999995</v>
      </c>
      <c r="G9" s="32">
        <f>IF($A9&gt;0,VLOOKUP($A9,NährstofBedarf!$A$4:$J$90,6)*$D9/10,0)</f>
        <v>41.712000000000003</v>
      </c>
      <c r="H9" s="31">
        <f>IF($A9&gt;0,VLOOKUP($A9,NährstofBedarf!$A$4:$J$90,7)*$D9/10,0)</f>
        <v>15.002416</v>
      </c>
      <c r="I9" s="33">
        <f>IF($A9&gt;0,VLOOKUP($A9,NährstofBedarf!$A$4:$J$90,8)*$D9/10,0)</f>
        <v>6.8129599999999995</v>
      </c>
      <c r="J9" s="33">
        <f>IF($A9&gt;0,VLOOKUP($A9,NährstofBedarf!$A$4:$J$90,10)*$D9/10,0)</f>
        <v>10.428000000000001</v>
      </c>
      <c r="K9"/>
      <c r="L9"/>
    </row>
    <row r="10" spans="1:12" ht="11.25" customHeight="1" x14ac:dyDescent="0.4">
      <c r="A10" s="27">
        <v>3</v>
      </c>
      <c r="B10" s="28" t="str">
        <f>IF(A10&gt;0,VLOOKUP(A10,NährstofBedarf!$A$4:$J$90,2),"")</f>
        <v>Back-Weizen</v>
      </c>
      <c r="C10" s="30">
        <v>101.67</v>
      </c>
      <c r="D10" s="29">
        <v>80</v>
      </c>
      <c r="E10" s="31">
        <f>IF($A10&gt;0,VLOOKUP($A10,NährstofBedarf!$A$4:$J$90,4)*$D10/10,0)</f>
        <v>224</v>
      </c>
      <c r="F10" s="31">
        <f>IF($A10&gt;0,VLOOKUP($A10,NährstofBedarf!$A$4:$J$90,5)*$D10/10,0)</f>
        <v>60.496303999999995</v>
      </c>
      <c r="G10" s="32">
        <f>IF($A10&gt;0,VLOOKUP($A10,NährstofBedarf!$A$4:$J$90,6)*$D10/10,0)</f>
        <v>41.712000000000003</v>
      </c>
      <c r="H10" s="31">
        <f>IF($A10&gt;0,VLOOKUP($A10,NährstofBedarf!$A$4:$J$90,7)*$D10/10,0)</f>
        <v>15.002416</v>
      </c>
      <c r="I10" s="33">
        <f>IF($A10&gt;0,VLOOKUP($A10,NährstofBedarf!$A$4:$J$90,8)*$D10/10,0)</f>
        <v>6.8129599999999995</v>
      </c>
      <c r="J10" s="33">
        <f>IF($A10&gt;0,VLOOKUP($A10,NährstofBedarf!$A$4:$J$90,10)*$D10/10,0)</f>
        <v>10.428000000000001</v>
      </c>
      <c r="K10"/>
      <c r="L10"/>
    </row>
    <row r="11" spans="1:12" ht="11.25" customHeight="1" x14ac:dyDescent="0.4">
      <c r="A11" s="27">
        <v>5</v>
      </c>
      <c r="B11" s="28" t="str">
        <f>IF(A11&gt;0,VLOOKUP(A11,NährstofBedarf!$A$4:$J$90,2),"")</f>
        <v>W-Gerste</v>
      </c>
      <c r="C11" s="30">
        <v>120</v>
      </c>
      <c r="D11" s="29">
        <v>71</v>
      </c>
      <c r="E11" s="31">
        <f>IF($A11&gt;0,VLOOKUP($A11,NährstofBedarf!$A$4:$J$90,4)*$D11/10,0)</f>
        <v>170.4</v>
      </c>
      <c r="F11" s="31">
        <f>IF($A11&gt;0,VLOOKUP($A11,NährstofBedarf!$A$4:$J$90,5)*$D11/10,0)</f>
        <v>57.529219699999985</v>
      </c>
      <c r="G11" s="32">
        <f>IF($A11&gt;0,VLOOKUP($A11,NährstofBedarf!$A$4:$J$90,6)*$D11/10,0)</f>
        <v>29.411039999999996</v>
      </c>
      <c r="H11" s="31">
        <f>IF($A11&gt;0,VLOOKUP($A11,NährstofBedarf!$A$4:$J$90,7)*$D11/10,0)</f>
        <v>12.205581599999999</v>
      </c>
      <c r="I11" s="33">
        <f>IF($A11&gt;0,VLOOKUP($A11,NährstofBedarf!$A$4:$J$90,8)*$D11/10,0)</f>
        <v>6.0047540000000001</v>
      </c>
      <c r="J11" s="33">
        <f>IF($A11&gt;0,VLOOKUP($A11,NährstofBedarf!$A$4:$J$90,10)*$D11/10,0)</f>
        <v>9.8036800000000017</v>
      </c>
      <c r="K11"/>
      <c r="L11"/>
    </row>
    <row r="12" spans="1:12" ht="11.25" customHeight="1" x14ac:dyDescent="0.4">
      <c r="A12" s="27">
        <v>20</v>
      </c>
      <c r="B12" s="28" t="str">
        <f>IF(A12&gt;0,VLOOKUP(A12,NährstofBedarf!$A$4:$J$90,2),"")</f>
        <v>Raps</v>
      </c>
      <c r="C12" s="30">
        <v>35</v>
      </c>
      <c r="D12" s="29">
        <v>31</v>
      </c>
      <c r="E12" s="31">
        <f>IF($A12&gt;0,VLOOKUP($A12,NährstofBedarf!$A$4:$J$90,4)*$D12/10,0)</f>
        <v>204.6</v>
      </c>
      <c r="F12" s="31">
        <f>IF($A12&gt;0,VLOOKUP($A12,NährstofBedarf!$A$4:$J$90,5)*$D12/10,0)</f>
        <v>61.977819499999995</v>
      </c>
      <c r="G12" s="32">
        <f>IF($A12&gt;0,VLOOKUP($A12,NährstofBedarf!$A$4:$J$90,6)*$D12/10,0)</f>
        <v>21.1274424</v>
      </c>
      <c r="H12" s="31">
        <f>IF($A12&gt;0,VLOOKUP($A12,NährstofBedarf!$A$4:$J$90,7)*$D12/10,0)</f>
        <v>16.079191599999998</v>
      </c>
      <c r="I12" s="33">
        <f>IF($A12&gt;0,VLOOKUP($A12,NährstofBedarf!$A$4:$J$90,8)*$D12/10,0)</f>
        <v>19.144607999999998</v>
      </c>
      <c r="J12" s="33">
        <f>IF($A12&gt;0,VLOOKUP($A12,NährstofBedarf!$A$4:$J$90,10)*$D12/10,0)</f>
        <v>40.45438</v>
      </c>
      <c r="K12"/>
      <c r="L12"/>
    </row>
    <row r="13" spans="1:12" ht="11.25" customHeight="1" x14ac:dyDescent="0.4">
      <c r="A13" s="27">
        <v>26</v>
      </c>
      <c r="B13" s="28" t="str">
        <f>IF(A13&gt;0,VLOOKUP(A13,NährstofBedarf!$A$4:$J$90,2),"")</f>
        <v>Zuckerrüben</v>
      </c>
      <c r="C13" s="30">
        <v>80</v>
      </c>
      <c r="D13" s="29">
        <v>527</v>
      </c>
      <c r="E13" s="31">
        <f>IF($A13&gt;0,VLOOKUP($A13,NährstofBedarf!$A$4:$J$90,4)*$D13/10,0)</f>
        <v>94.86</v>
      </c>
      <c r="F13" s="31">
        <f>IF($A13&gt;0,VLOOKUP($A13,NährstofBedarf!$A$4:$J$90,5)*$D13/10,0)</f>
        <v>45.256125000000004</v>
      </c>
      <c r="G13" s="32">
        <f>IF($A13&gt;0,VLOOKUP($A13,NährstofBedarf!$A$4:$J$90,6)*$D13/10,0)</f>
        <v>126.47999999999999</v>
      </c>
      <c r="H13" s="31">
        <f>IF($A13&gt;0,VLOOKUP($A13,NährstofBedarf!$A$4:$J$90,7)*$D13/10,0)</f>
        <v>34.992800000000003</v>
      </c>
      <c r="I13" s="33">
        <f>IF($A13&gt;0,VLOOKUP($A13,NährstofBedarf!$A$4:$J$90,8)*$D13/10,0)</f>
        <v>42.423500000000004</v>
      </c>
      <c r="J13" s="33">
        <f>IF($A13&gt;0,VLOOKUP($A13,NährstofBedarf!$A$4:$J$90,10)*$D13/10,0)</f>
        <v>7.9049999999999994</v>
      </c>
      <c r="K13"/>
      <c r="L13"/>
    </row>
    <row r="14" spans="1:12" ht="11.25" customHeight="1" x14ac:dyDescent="0.4">
      <c r="A14" s="27">
        <v>19</v>
      </c>
      <c r="B14" s="28" t="str">
        <f>IF(A14&gt;0,VLOOKUP(A14,NährstofBedarf!$A$4:$J$90,2),"")</f>
        <v>Erbsen</v>
      </c>
      <c r="C14" s="30">
        <v>5</v>
      </c>
      <c r="D14" s="29">
        <v>44</v>
      </c>
      <c r="E14" s="31">
        <f>IF($A14&gt;0,VLOOKUP($A14,NährstofBedarf!$A$4:$J$90,4)*$D14/10,0)</f>
        <v>0</v>
      </c>
      <c r="F14" s="31">
        <f>IF($A14&gt;0,VLOOKUP($A14,NährstofBedarf!$A$4:$J$90,5)*$D14/10,0)</f>
        <v>27.537707999999999</v>
      </c>
      <c r="G14" s="32">
        <f>IF($A14&gt;0,VLOOKUP($A14,NährstofBedarf!$A$4:$J$90,6)*$D14/10,0)</f>
        <v>101.01168</v>
      </c>
      <c r="H14" s="31">
        <f>IF($A14&gt;0,VLOOKUP($A14,NährstofBedarf!$A$4:$J$90,7)*$D14/10,0)</f>
        <v>18.631043200000001</v>
      </c>
      <c r="I14" s="33">
        <f>IF($A14&gt;0,VLOOKUP($A14,NährstofBedarf!$A$4:$J$90,8)*$D14/10,0)</f>
        <v>6.172936</v>
      </c>
      <c r="J14" s="33">
        <f>IF($A14&gt;0,VLOOKUP($A14,NährstofBedarf!$A$4:$J$90,10)*$D14/10,0)</f>
        <v>6.0126000000000008</v>
      </c>
      <c r="K14"/>
      <c r="L14"/>
    </row>
    <row r="15" spans="1:12" ht="11.25" customHeight="1" x14ac:dyDescent="0.4">
      <c r="A15" s="27">
        <v>25</v>
      </c>
      <c r="B15" s="28" t="str">
        <f>IF(A15&gt;0,VLOOKUP(A15,NährstofBedarf!$A$4:$J$90,2),"")</f>
        <v>Kartoffeln</v>
      </c>
      <c r="C15" s="30">
        <v>15</v>
      </c>
      <c r="D15" s="29">
        <v>350</v>
      </c>
      <c r="E15" s="31">
        <f>IF($A15&gt;0,VLOOKUP($A15,NährstofBedarf!$A$4:$J$90,4)*$D15/10,0)</f>
        <v>122.5</v>
      </c>
      <c r="F15" s="31">
        <f>IF($A15&gt;0,VLOOKUP($A15,NährstofBedarf!$A$4:$J$90,5)*$D15/10,0)</f>
        <v>44.883999999999993</v>
      </c>
      <c r="G15" s="32">
        <f>IF($A15&gt;0,VLOOKUP($A15,NährstofBedarf!$A$4:$J$90,6)*$D15/10,0)</f>
        <v>206.97599999999997</v>
      </c>
      <c r="H15" s="31">
        <f>IF($A15&gt;0,VLOOKUP($A15,NährstofBedarf!$A$4:$J$90,7)*$D15/10,0)</f>
        <v>18.22016</v>
      </c>
      <c r="I15" s="33">
        <f>IF($A15&gt;0,VLOOKUP($A15,NährstofBedarf!$A$4:$J$90,8)*$D15/10,0)</f>
        <v>4.3903999999999996</v>
      </c>
      <c r="J15" s="33">
        <f>IF($A15&gt;0,VLOOKUP($A15,NährstofBedarf!$A$4:$J$90,10)*$D15/10,0)</f>
        <v>13.327999999999999</v>
      </c>
      <c r="K15"/>
      <c r="L15"/>
    </row>
    <row r="16" spans="1:12" ht="11.25" customHeight="1" x14ac:dyDescent="0.4">
      <c r="A16" s="27"/>
      <c r="B16" s="28" t="str">
        <f>IF(A16&gt;0,VLOOKUP(A16,NährstofBedarf!$A$4:$J$90,2),"")</f>
        <v/>
      </c>
      <c r="C16" s="30"/>
      <c r="D16" s="29"/>
      <c r="E16" s="31">
        <f>IF($A16&gt;0,VLOOKUP($A16,NährstofBedarf!$A$4:$J$90,4)*$D16/10,0)</f>
        <v>0</v>
      </c>
      <c r="F16" s="31">
        <f>IF($A16&gt;0,VLOOKUP($A16,NährstofBedarf!$A$4:$J$90,5)*$D16/10,0)</f>
        <v>0</v>
      </c>
      <c r="G16" s="32">
        <f>IF($A16&gt;0,VLOOKUP($A16,NährstofBedarf!$A$4:$J$90,6)*$D16/10,0)</f>
        <v>0</v>
      </c>
      <c r="H16" s="31">
        <f>IF($A16&gt;0,VLOOKUP($A16,NährstofBedarf!$A$4:$J$90,7)*$D16/10,0)</f>
        <v>0</v>
      </c>
      <c r="I16" s="33">
        <f>IF($A16&gt;0,VLOOKUP($A16,NährstofBedarf!$A$4:$J$90,8)*$D16/10,0)</f>
        <v>0</v>
      </c>
      <c r="J16" s="33">
        <f>IF($A16&gt;0,VLOOKUP($A16,NährstofBedarf!$A$4:$J$90,10)*$D16/10,0)</f>
        <v>0</v>
      </c>
      <c r="K16"/>
      <c r="L16"/>
    </row>
    <row r="17" spans="1:12" ht="11.25" customHeight="1" x14ac:dyDescent="0.4">
      <c r="A17" s="27"/>
      <c r="B17" s="28" t="str">
        <f>IF(A17&gt;0,VLOOKUP(A17,NährstofBedarf!$A$4:$J$90,2),"")</f>
        <v/>
      </c>
      <c r="C17" s="30"/>
      <c r="D17" s="29"/>
      <c r="E17" s="31">
        <f>IF($A17&gt;0,VLOOKUP($A17,NährstofBedarf!$A$4:$J$90,4)*$D17/10,0)</f>
        <v>0</v>
      </c>
      <c r="F17" s="31">
        <f>IF($A17&gt;0,VLOOKUP($A17,NährstofBedarf!$A$4:$J$90,5)*$D17/10,0)</f>
        <v>0</v>
      </c>
      <c r="G17" s="32">
        <f>IF($A17&gt;0,VLOOKUP($A17,NährstofBedarf!$A$4:$J$90,6)*$D17/10,0)</f>
        <v>0</v>
      </c>
      <c r="H17" s="31">
        <f>IF($A17&gt;0,VLOOKUP($A17,NährstofBedarf!$A$4:$J$90,7)*$D17/10,0)</f>
        <v>0</v>
      </c>
      <c r="I17" s="33">
        <f>IF($A17&gt;0,VLOOKUP($A17,NährstofBedarf!$A$4:$J$90,8)*$D17/10,0)</f>
        <v>0</v>
      </c>
      <c r="J17" s="33">
        <f>IF($A17&gt;0,VLOOKUP($A17,NährstofBedarf!$A$4:$J$90,10)*$D17/10,0)</f>
        <v>0</v>
      </c>
      <c r="K17"/>
      <c r="L17"/>
    </row>
    <row r="18" spans="1:12" ht="11.25" customHeight="1" x14ac:dyDescent="0.4">
      <c r="A18" s="27"/>
      <c r="B18" s="28" t="str">
        <f>IF(A18&gt;0,VLOOKUP(A18,NährstofBedarf!$A$4:$J$90,2),"")</f>
        <v/>
      </c>
      <c r="C18" s="30"/>
      <c r="D18" s="29"/>
      <c r="E18" s="31">
        <f>IF($A18&gt;0,VLOOKUP($A18,NährstofBedarf!$A$4:$J$90,4)*$D18/10,0)</f>
        <v>0</v>
      </c>
      <c r="F18" s="31">
        <f>IF($A18&gt;0,VLOOKUP($A18,NährstofBedarf!$A$4:$J$90,5)*$D18/10,0)</f>
        <v>0</v>
      </c>
      <c r="G18" s="32">
        <f>IF($A18&gt;0,VLOOKUP($A18,NährstofBedarf!$A$4:$J$90,6)*$D18/10,0)</f>
        <v>0</v>
      </c>
      <c r="H18" s="31">
        <f>IF($A18&gt;0,VLOOKUP($A18,NährstofBedarf!$A$4:$J$90,7)*$D18/10,0)</f>
        <v>0</v>
      </c>
      <c r="I18" s="33">
        <f>IF($A18&gt;0,VLOOKUP($A18,NährstofBedarf!$A$4:$J$90,8)*$D18/10,0)</f>
        <v>0</v>
      </c>
      <c r="J18" s="33">
        <f>IF($A18&gt;0,VLOOKUP($A18,NährstofBedarf!$A$4:$J$90,10)*$D18/10,0)</f>
        <v>0</v>
      </c>
      <c r="K18"/>
      <c r="L18"/>
    </row>
    <row r="19" spans="1:12" ht="11.25" customHeight="1" x14ac:dyDescent="0.4">
      <c r="A19" s="83"/>
      <c r="B19" s="34" t="str">
        <f>IF(A19&gt;0,VLOOKUP(A19,NährstofBedarf!$A$4:$J$90,2),"")</f>
        <v/>
      </c>
      <c r="C19" s="30"/>
      <c r="D19" s="29"/>
      <c r="E19" s="31">
        <f>IF($A19&gt;0,VLOOKUP($A19,NährstofBedarf!$A$4:$J$90,4)*$D19/10,0)</f>
        <v>0</v>
      </c>
      <c r="F19" s="31">
        <f>IF($A19&gt;0,VLOOKUP($A19,NährstofBedarf!$A$4:$J$90,5)*$D19/10,0)</f>
        <v>0</v>
      </c>
      <c r="G19" s="32">
        <f>IF($A19&gt;0,VLOOKUP($A19,NährstofBedarf!$A$4:$J$90,6)*$D19/10,0)</f>
        <v>0</v>
      </c>
      <c r="H19" s="31">
        <f>IF($A19&gt;0,VLOOKUP($A19,NährstofBedarf!$A$4:$J$90,7)*$D19/10,0)</f>
        <v>0</v>
      </c>
      <c r="I19" s="33">
        <f>IF($A19&gt;0,VLOOKUP($A19,NährstofBedarf!$A$4:$J$90,8)*$D19/10,0)</f>
        <v>0</v>
      </c>
      <c r="J19" s="33">
        <f>IF($A19&gt;0,VLOOKUP($A19,NährstofBedarf!$A$4:$J$90,10)*$D19/10,0)</f>
        <v>0</v>
      </c>
      <c r="K19"/>
      <c r="L19"/>
    </row>
    <row r="20" spans="1:12" ht="11.25" customHeight="1" x14ac:dyDescent="0.4">
      <c r="A20" s="262">
        <v>66</v>
      </c>
      <c r="B20" s="34" t="str">
        <f>IF(A20&gt;0,VLOOKUP(A20,NährstofBedarf!$A$4:$J$90,2),"")</f>
        <v>frei  /  Stillegung</v>
      </c>
      <c r="C20" s="35">
        <v>40</v>
      </c>
      <c r="D20" s="131"/>
      <c r="E20" s="31">
        <f>IF($A20&gt;0,VLOOKUP($A20,NährstofBedarf!$A$4:$J$90,4)*$D20/10,0)</f>
        <v>0</v>
      </c>
      <c r="F20" s="31">
        <f>IF($A20&gt;0,VLOOKUP($A20,NährstofBedarf!$A$4:$J$90,5)*$D20/10,0)</f>
        <v>0</v>
      </c>
      <c r="G20" s="32">
        <f>IF($A20&gt;0,VLOOKUP($A20,NährstofBedarf!$A$4:$J$90,6)*$D20/10,0)</f>
        <v>0</v>
      </c>
      <c r="H20" s="31">
        <f>IF($A20&gt;0,VLOOKUP($A20,NährstofBedarf!$A$4:$J$90,7)*$D20/10,0)</f>
        <v>0</v>
      </c>
      <c r="I20" s="33">
        <f>IF($A20&gt;0,VLOOKUP($A20,NährstofBedarf!$A$4:$J$90,8)*$D20/10,0)</f>
        <v>0</v>
      </c>
      <c r="J20" s="33">
        <f>IF($A20&gt;0,VLOOKUP($A20,NährstofBedarf!$A$4:$J$90,10)*$D20/10,0)</f>
        <v>0</v>
      </c>
      <c r="K20"/>
      <c r="L20"/>
    </row>
    <row r="21" spans="1:12" ht="11.25" customHeight="1" x14ac:dyDescent="0.4">
      <c r="A21" s="193"/>
      <c r="B21" s="90" t="s">
        <v>235</v>
      </c>
      <c r="C21" s="36">
        <f>SUM(C9:C20)</f>
        <v>500</v>
      </c>
      <c r="D21" s="34"/>
      <c r="E21" s="34"/>
      <c r="F21" s="36"/>
      <c r="G21" s="36"/>
      <c r="H21" s="37"/>
      <c r="I21" s="36"/>
      <c r="J21" s="38"/>
      <c r="L21"/>
    </row>
    <row r="22" spans="1:12" ht="11.25" customHeight="1" x14ac:dyDescent="0.4">
      <c r="A22" s="39" t="s">
        <v>236</v>
      </c>
      <c r="B22" s="40"/>
      <c r="C22" s="34"/>
      <c r="D22" s="40"/>
      <c r="E22" s="263">
        <f t="shared" ref="E22:J22" si="0">(E9*$C9+E10*$C10+E11*$C11+E12*$C12+E13*$C13+E14*$C14+E15*$C15+E16*$C16+E17*$C17+E18*$C18+E19*$C19+E20*$C20)/$C21</f>
        <v>159.29748000000001</v>
      </c>
      <c r="F22" s="263">
        <f t="shared" si="0"/>
        <v>51.811821812999987</v>
      </c>
      <c r="G22" s="263">
        <f t="shared" si="0"/>
        <v>53.095687368</v>
      </c>
      <c r="H22" s="263">
        <f t="shared" si="0"/>
        <v>16.537636788</v>
      </c>
      <c r="I22" s="263">
        <f t="shared" si="0"/>
        <v>12.555778479999999</v>
      </c>
      <c r="J22" s="263">
        <f t="shared" si="0"/>
        <v>11.1849358</v>
      </c>
      <c r="L22"/>
    </row>
    <row r="23" spans="1:12" s="16" customFormat="1" ht="11.25" customHeight="1" x14ac:dyDescent="0.4">
      <c r="A23" s="261" t="s">
        <v>237</v>
      </c>
      <c r="B23" s="84"/>
      <c r="C23" s="42"/>
      <c r="D23" s="84"/>
      <c r="E23" s="41">
        <v>15</v>
      </c>
      <c r="F23" s="41"/>
      <c r="G23" s="41">
        <v>10</v>
      </c>
      <c r="H23" s="41">
        <v>10</v>
      </c>
      <c r="I23" s="41">
        <v>200</v>
      </c>
      <c r="J23" s="41">
        <v>10</v>
      </c>
      <c r="K23" s="390"/>
      <c r="L23"/>
    </row>
    <row r="24" spans="1:12" ht="11.25" customHeight="1" x14ac:dyDescent="0.4">
      <c r="A24" s="195" t="s">
        <v>238</v>
      </c>
      <c r="B24" s="43"/>
      <c r="C24" s="46"/>
      <c r="D24" s="44"/>
      <c r="E24" s="45">
        <f t="shared" ref="E24:J24" si="1">SUM(E22:E23)</f>
        <v>174.29748000000001</v>
      </c>
      <c r="F24" s="45">
        <f t="shared" si="1"/>
        <v>51.811821812999987</v>
      </c>
      <c r="G24" s="45">
        <f t="shared" si="1"/>
        <v>63.095687368</v>
      </c>
      <c r="H24" s="45">
        <f t="shared" si="1"/>
        <v>26.537636788</v>
      </c>
      <c r="I24" s="45">
        <f t="shared" si="1"/>
        <v>212.55577847999999</v>
      </c>
      <c r="J24" s="45">
        <f t="shared" si="1"/>
        <v>21.184935799999998</v>
      </c>
      <c r="L24"/>
    </row>
    <row r="25" spans="1:12" ht="11.25" customHeight="1" x14ac:dyDescent="0.4">
      <c r="A25" s="232"/>
      <c r="B25" s="135"/>
      <c r="C25" s="233"/>
      <c r="D25" s="204"/>
      <c r="E25" s="234"/>
      <c r="F25" s="234"/>
      <c r="G25" s="234"/>
      <c r="H25" s="234"/>
      <c r="I25" s="234"/>
      <c r="J25" s="234"/>
      <c r="L25"/>
    </row>
    <row r="26" spans="1:12" ht="11.25" customHeight="1" x14ac:dyDescent="0.4">
      <c r="A26" s="232"/>
      <c r="B26" s="135"/>
      <c r="C26" s="233"/>
      <c r="D26" s="204"/>
      <c r="E26" s="234"/>
      <c r="F26" s="234"/>
      <c r="G26" s="234"/>
      <c r="H26" s="234"/>
      <c r="I26" s="234"/>
      <c r="J26" s="234"/>
      <c r="L26"/>
    </row>
    <row r="27" spans="1:12" ht="11.25" customHeight="1" x14ac:dyDescent="0.4">
      <c r="A27" s="232"/>
      <c r="B27" s="135"/>
      <c r="C27" s="233"/>
      <c r="D27" s="204"/>
      <c r="E27" s="234"/>
      <c r="F27" s="234"/>
      <c r="G27" s="234"/>
      <c r="H27" s="234"/>
      <c r="I27" s="234"/>
      <c r="J27" s="234"/>
      <c r="L27"/>
    </row>
    <row r="28" spans="1:12" ht="11.25" customHeight="1" x14ac:dyDescent="0.4">
      <c r="A28" s="232"/>
      <c r="B28" s="135"/>
      <c r="C28" s="319"/>
      <c r="D28" s="204"/>
      <c r="E28" s="234"/>
      <c r="F28" s="234"/>
      <c r="G28" s="234"/>
      <c r="H28" s="234"/>
      <c r="I28" s="234"/>
      <c r="J28" s="234"/>
      <c r="L28"/>
    </row>
    <row r="29" spans="1:12" ht="11.25" customHeight="1" x14ac:dyDescent="0.4">
      <c r="A29" s="232"/>
      <c r="B29" s="135"/>
      <c r="C29" s="233"/>
      <c r="D29" s="204"/>
      <c r="E29" s="234"/>
      <c r="F29" s="234"/>
      <c r="G29" s="234"/>
      <c r="H29" s="234"/>
      <c r="I29" s="234"/>
      <c r="J29" s="234"/>
      <c r="L29"/>
    </row>
    <row r="30" spans="1:12" ht="11.25" customHeight="1" x14ac:dyDescent="0.35">
      <c r="A30" s="47"/>
    </row>
    <row r="31" spans="1:12" s="16" customFormat="1" ht="15" x14ac:dyDescent="0.5">
      <c r="A31" s="254" t="s">
        <v>239</v>
      </c>
      <c r="B31" s="213" t="s">
        <v>240</v>
      </c>
      <c r="C31" s="409"/>
      <c r="D31" s="409"/>
      <c r="E31" s="409"/>
      <c r="F31" s="409"/>
      <c r="G31" s="409"/>
      <c r="H31" s="409"/>
      <c r="I31" s="409"/>
      <c r="J31" s="493"/>
      <c r="K31" s="390"/>
      <c r="L31" s="390"/>
    </row>
    <row r="32" spans="1:12" s="16" customFormat="1" ht="15" x14ac:dyDescent="0.5">
      <c r="A32" s="251"/>
      <c r="B32" s="252"/>
      <c r="C32" s="390"/>
      <c r="D32" s="390"/>
      <c r="E32" s="390"/>
      <c r="F32" s="390"/>
      <c r="G32" s="390"/>
      <c r="H32" s="390"/>
      <c r="I32" s="390"/>
      <c r="J32" s="390"/>
      <c r="K32" s="390"/>
      <c r="L32" s="390"/>
    </row>
    <row r="33" spans="1:18" ht="12.75" hidden="1" customHeight="1" x14ac:dyDescent="0.4">
      <c r="A33" s="494" t="s">
        <v>241</v>
      </c>
      <c r="B33" s="495" t="s">
        <v>242</v>
      </c>
      <c r="C33"/>
      <c r="D33" s="495"/>
      <c r="E33" s="495"/>
      <c r="F33" s="495"/>
      <c r="G33" s="495"/>
      <c r="H33" s="495"/>
      <c r="I33" s="253"/>
      <c r="J33" s="219"/>
    </row>
    <row r="34" spans="1:18" ht="11.25" hidden="1" customHeight="1" x14ac:dyDescent="0.35">
      <c r="A34" s="18" t="s">
        <v>15</v>
      </c>
      <c r="B34" s="19" t="s">
        <v>81</v>
      </c>
      <c r="C34" s="19" t="s">
        <v>243</v>
      </c>
      <c r="D34" s="19" t="s">
        <v>22</v>
      </c>
      <c r="E34" s="20" t="s">
        <v>71</v>
      </c>
      <c r="F34" s="19" t="s">
        <v>74</v>
      </c>
      <c r="G34" s="20" t="s">
        <v>23</v>
      </c>
      <c r="H34" s="19" t="s">
        <v>25</v>
      </c>
      <c r="I34" s="19" t="s">
        <v>24</v>
      </c>
      <c r="J34" s="19" t="s">
        <v>244</v>
      </c>
    </row>
    <row r="35" spans="1:18" ht="11.25" hidden="1" customHeight="1" x14ac:dyDescent="0.35">
      <c r="A35" s="48"/>
      <c r="B35" s="24"/>
      <c r="C35" s="207" t="s">
        <v>233</v>
      </c>
      <c r="D35" s="24" t="s">
        <v>234</v>
      </c>
      <c r="E35" s="49" t="s">
        <v>234</v>
      </c>
      <c r="F35" s="50" t="s">
        <v>234</v>
      </c>
      <c r="G35" s="49" t="s">
        <v>234</v>
      </c>
      <c r="H35" s="50" t="s">
        <v>234</v>
      </c>
      <c r="I35" s="50" t="s">
        <v>234</v>
      </c>
      <c r="J35" s="24" t="s">
        <v>245</v>
      </c>
    </row>
    <row r="36" spans="1:18" ht="11.25" hidden="1" customHeight="1" x14ac:dyDescent="0.35">
      <c r="A36" s="77">
        <v>3</v>
      </c>
      <c r="B36" s="52" t="str">
        <f>IF($A36&gt;0,VLOOKUP($A36,Düngemittel!$A$3:$I$510,2),"")</f>
        <v>Harnstoff, 46 % N, stabilisiert</v>
      </c>
      <c r="C36" s="231">
        <v>3.24</v>
      </c>
      <c r="D36" s="54">
        <f>IF($A36&gt;0,$C36*VLOOKUP($A36,Düngemittel!$A$3:$M$510,3),0)</f>
        <v>149.04000000000002</v>
      </c>
      <c r="E36" s="54">
        <f>IF($A36&gt;0,$C36*VLOOKUP($A36,Düngemittel!$A$3:$M$510,4),0)</f>
        <v>0</v>
      </c>
      <c r="F36" s="54">
        <f>IF($A36&gt;0,$C36*VLOOKUP($A36,Düngemittel!$A$3:$M$510,5),0)</f>
        <v>0</v>
      </c>
      <c r="G36" s="54">
        <f>IF($A36&gt;0,$C36*VLOOKUP($A36,Düngemittel!$A$3:$M$510,6),0)</f>
        <v>0</v>
      </c>
      <c r="H36" s="54">
        <f>IF($A36&gt;0,$C36*VLOOKUP($A36,Düngemittel!$A$3:$M$510,8),0)</f>
        <v>-149.04000000000002</v>
      </c>
      <c r="I36" s="55">
        <f>IF($A36&gt;0,$C36*VLOOKUP($A36,Düngemittel!$A$3:$M$510,7),0)</f>
        <v>0</v>
      </c>
      <c r="J36" s="237">
        <f>IF($A36&gt;0,VLOOKUP($A36,Düngemittel!$A$3:$S$510,10)*$C36,0)</f>
        <v>105.30000000000001</v>
      </c>
    </row>
    <row r="37" spans="1:18" ht="11.25" hidden="1" customHeight="1" x14ac:dyDescent="0.35">
      <c r="A37" s="83">
        <v>9</v>
      </c>
      <c r="B37" s="52" t="str">
        <f>IF($A37&gt;0,VLOOKUP($A37,Düngemittel!$A$3:$I$1362,2),"")</f>
        <v>Schwefelsaures Amoniak 21% N + 24% S,</v>
      </c>
      <c r="C37" s="53">
        <v>0.62</v>
      </c>
      <c r="D37" s="54">
        <f>IF($A37&gt;0,$C37*VLOOKUP($A37,Düngemittel!$A$3:$M$510,3),0)</f>
        <v>13.02</v>
      </c>
      <c r="E37" s="54">
        <f>IF($A37&gt;0,$C37*VLOOKUP($A37,Düngemittel!$A$3:$M$510,4),0)</f>
        <v>0</v>
      </c>
      <c r="F37" s="54">
        <f>IF($A37&gt;0,$C37*VLOOKUP($A37,Düngemittel!$A$3:$M$510,5),0)</f>
        <v>0</v>
      </c>
      <c r="G37" s="54">
        <f>IF($A37&gt;0,$C37*VLOOKUP($A37,Düngemittel!$A$3:$M$510,6),0)</f>
        <v>0</v>
      </c>
      <c r="H37" s="54">
        <f>IF($A37&gt;0,$C37*VLOOKUP($A37,Düngemittel!$A$3:$M$510,8),0)</f>
        <v>-39.06</v>
      </c>
      <c r="I37" s="55">
        <f>IF($A37&gt;0,$C37*VLOOKUP($A37,Düngemittel!$A$3:$M$510,7),0)</f>
        <v>14.879999999999999</v>
      </c>
      <c r="J37" s="237">
        <f>IF($A37&gt;0,VLOOKUP($A37,Düngemittel!$A$3:$S$510,10)*$C37,0)</f>
        <v>16.733799999999999</v>
      </c>
    </row>
    <row r="38" spans="1:18" ht="11.25" hidden="1" customHeight="1" x14ac:dyDescent="0.35">
      <c r="A38" s="83">
        <v>16</v>
      </c>
      <c r="B38" s="52" t="str">
        <f>IF($A38&gt;0,VLOOKUP($A38,Düngemittel!$A$3:$I$1362,2),"")</f>
        <v>Monoammonphosphat</v>
      </c>
      <c r="C38" s="53">
        <v>0.99</v>
      </c>
      <c r="D38" s="54">
        <f>IF($A38&gt;0,$C38*VLOOKUP($A38,Düngemittel!$A$3:$M$510,3),0)</f>
        <v>11.879999999999999</v>
      </c>
      <c r="E38" s="54">
        <f>IF($A38&gt;0,$C38*VLOOKUP($A38,Düngemittel!$A$3:$M$510,4),0)</f>
        <v>51.48</v>
      </c>
      <c r="F38" s="54">
        <f>IF($A38&gt;0,$C38*VLOOKUP($A38,Düngemittel!$A$3:$M$510,5),0)</f>
        <v>0</v>
      </c>
      <c r="G38" s="54">
        <f>IF($A38&gt;0,$C38*VLOOKUP($A38,Düngemittel!$A$3:$M$510,6),0)</f>
        <v>0</v>
      </c>
      <c r="H38" s="54">
        <f>IF($A38&gt;0,$C38*VLOOKUP($A38,Düngemittel!$A$3:$M$510,8),0)</f>
        <v>-36.630000000000003</v>
      </c>
      <c r="I38" s="55">
        <f>IF($A38&gt;0,$C38*VLOOKUP($A38,Düngemittel!$A$3:$M$510,7),0)</f>
        <v>0</v>
      </c>
      <c r="J38" s="237">
        <f>IF($A38&gt;0,VLOOKUP($A38,Düngemittel!$A$3:$S$510,10)*$C38,0)</f>
        <v>36.134999999999998</v>
      </c>
    </row>
    <row r="39" spans="1:18" ht="11.25" hidden="1" customHeight="1" x14ac:dyDescent="0.35">
      <c r="A39" s="83">
        <v>49</v>
      </c>
      <c r="B39" s="52" t="str">
        <f>IF($A39&gt;0,VLOOKUP($A39,Düngemittel!$A$3:$I$1362,2),"")</f>
        <v>40er Kornkali + Mg 40 % K2O+6%MgO</v>
      </c>
      <c r="C39" s="53">
        <v>1.57</v>
      </c>
      <c r="D39" s="54">
        <f>IF($A39&gt;0,$C39*VLOOKUP($A39,Düngemittel!$A$3:$M$510,3),0)</f>
        <v>0</v>
      </c>
      <c r="E39" s="54">
        <f>IF($A39&gt;0,$C39*VLOOKUP($A39,Düngemittel!$A$3:$M$510,4),0)</f>
        <v>0</v>
      </c>
      <c r="F39" s="54">
        <f>IF($A39&gt;0,$C39*VLOOKUP($A39,Düngemittel!$A$3:$M$510,5),0)</f>
        <v>62.800000000000004</v>
      </c>
      <c r="G39" s="54">
        <f>IF($A39&gt;0,$C39*VLOOKUP($A39,Düngemittel!$A$3:$M$510,6),0)</f>
        <v>9.42</v>
      </c>
      <c r="H39" s="54">
        <f>IF($A39&gt;0,$C39*VLOOKUP($A39,Düngemittel!$A$3:$M$510,8),0)</f>
        <v>0</v>
      </c>
      <c r="I39" s="55">
        <f>IF($A39&gt;0,$C39*VLOOKUP($A39,Düngemittel!$A$3:$M$510,7),0)</f>
        <v>6.28</v>
      </c>
      <c r="J39" s="237">
        <f>IF($A39&gt;0,VLOOKUP($A39,Düngemittel!$A$3:$S$510,10)*$C39,0)</f>
        <v>36.957799999999999</v>
      </c>
    </row>
    <row r="40" spans="1:18" ht="11.25" hidden="1" customHeight="1" x14ac:dyDescent="0.35">
      <c r="A40" s="83"/>
      <c r="B40" s="52" t="str">
        <f>IF($A40&gt;0,VLOOKUP($A40,Düngemittel!$A$3:$I$1362,2),"")</f>
        <v/>
      </c>
      <c r="C40" s="53"/>
      <c r="D40" s="54">
        <f>IF($A40&gt;0,$C40*VLOOKUP($A40,Düngemittel!$A$3:$M$510,3),0)</f>
        <v>0</v>
      </c>
      <c r="E40" s="54">
        <f>IF($A40&gt;0,$C40*VLOOKUP($A40,Düngemittel!$A$3:$M$510,4),0)</f>
        <v>0</v>
      </c>
      <c r="F40" s="54">
        <f>IF($A40&gt;0,$C40*VLOOKUP($A40,Düngemittel!$A$3:$M$510,5),0)</f>
        <v>0</v>
      </c>
      <c r="G40" s="54">
        <f>IF($A40&gt;0,$C40*VLOOKUP($A40,Düngemittel!$A$3:$M$510,6),0)</f>
        <v>0</v>
      </c>
      <c r="H40" s="54">
        <f>IF($A40&gt;0,$C40*VLOOKUP($A40,Düngemittel!$A$3:$M$510,8),0)</f>
        <v>0</v>
      </c>
      <c r="I40" s="55">
        <f>IF($A40&gt;0,$C40*VLOOKUP($A40,Düngemittel!$A$3:$M$510,7),0)</f>
        <v>0</v>
      </c>
      <c r="J40" s="237">
        <f>IF($A40&gt;0,VLOOKUP($A40,Düngemittel!$A$3:$S$510,10)*$C40,0)</f>
        <v>0</v>
      </c>
    </row>
    <row r="41" spans="1:18" ht="11.25" hidden="1" customHeight="1" x14ac:dyDescent="0.35">
      <c r="A41" s="27"/>
      <c r="B41" s="52" t="str">
        <f>IF($A41&gt;0,VLOOKUP($A41,Düngemittel!$A$3:$I$1362,2),"")</f>
        <v/>
      </c>
      <c r="C41" s="53"/>
      <c r="D41" s="54">
        <f>IF($A41&gt;0,$C41*VLOOKUP($A41,Düngemittel!$A$3:$M$510,3),0)</f>
        <v>0</v>
      </c>
      <c r="E41" s="54">
        <f>IF($A41&gt;0,$C41*VLOOKUP($A41,Düngemittel!$A$3:$M$510,4),0)</f>
        <v>0</v>
      </c>
      <c r="F41" s="54">
        <f>IF($A41&gt;0,$C41*VLOOKUP($A41,Düngemittel!$A$3:$M$510,5),0)</f>
        <v>0</v>
      </c>
      <c r="G41" s="54">
        <f>IF($A41&gt;0,$C41*VLOOKUP($A41,Düngemittel!$A$3:$M$510,6),0)</f>
        <v>0</v>
      </c>
      <c r="H41" s="54">
        <f>IF($A41&gt;0,$C41*VLOOKUP($A41,Düngemittel!$A$3:$M$510,8),0)</f>
        <v>0</v>
      </c>
      <c r="I41" s="55">
        <f>IF($A41&gt;0,$C41*VLOOKUP($A41,Düngemittel!$A$3:$M$510,7),0)</f>
        <v>0</v>
      </c>
      <c r="J41" s="237">
        <f>IF($A41&gt;0,VLOOKUP($A41,Düngemittel!$A$3:$S$510,10)*$C41,0)</f>
        <v>0</v>
      </c>
    </row>
    <row r="42" spans="1:18" ht="11.25" hidden="1" customHeight="1" x14ac:dyDescent="0.35">
      <c r="A42" s="83">
        <v>83</v>
      </c>
      <c r="B42" s="52" t="str">
        <f>IF($A42&gt;0,VLOOKUP($A42,Düngemittel!$A$3:$I$1362,2),"")</f>
        <v>Kohlensauer Kalk, 80 % CaCO3 + 5 MgCO3</v>
      </c>
      <c r="C42" s="53">
        <v>8.5</v>
      </c>
      <c r="D42" s="54">
        <f>IF($A42&gt;0,$C42*VLOOKUP($A42,Düngemittel!$A$3:$M$510,3),0)</f>
        <v>0</v>
      </c>
      <c r="E42" s="54">
        <f>IF($A42&gt;0,$C42*VLOOKUP($A42,Düngemittel!$A$3:$M$510,4),0)</f>
        <v>0</v>
      </c>
      <c r="F42" s="54">
        <f>IF($A42&gt;0,$C42*VLOOKUP($A42,Düngemittel!$A$3:$M$510,5),0)</f>
        <v>0</v>
      </c>
      <c r="G42" s="54">
        <f>IF($A42&gt;0,$C42*VLOOKUP($A42,Düngemittel!$A$3:$M$510,6),0)</f>
        <v>17</v>
      </c>
      <c r="H42" s="54">
        <f>IF($A42&gt;0,$C42*VLOOKUP($A42,Düngemittel!$A$3:$M$510,8),0)</f>
        <v>408</v>
      </c>
      <c r="I42" s="55">
        <f>IF($A42&gt;0,$C42*VLOOKUP($A42,Düngemittel!$A$3:$M$510,7),0)</f>
        <v>0</v>
      </c>
      <c r="J42" s="237">
        <f>IF($A42&gt;0,VLOOKUP($A42,Düngemittel!$A$3:$S$510,10)*$C42,0)</f>
        <v>24.31</v>
      </c>
    </row>
    <row r="43" spans="1:18" ht="11.25" hidden="1" customHeight="1" x14ac:dyDescent="0.35">
      <c r="A43" s="27">
        <v>81</v>
      </c>
      <c r="B43" s="90" t="str">
        <f>IF($A43&gt;0,VLOOKUP($A43,Düngemittel!$A$3:$I$1362,2),"")</f>
        <v>Kohlensaurer Kalk 85</v>
      </c>
      <c r="C43" s="214">
        <v>0.62</v>
      </c>
      <c r="D43" s="54">
        <f>IF($A43&gt;0,$C43*VLOOKUP($A43,Düngemittel!$A$3:$M$510,3),0)</f>
        <v>0</v>
      </c>
      <c r="E43" s="54">
        <f>IF($A43&gt;0,$C43*VLOOKUP($A43,Düngemittel!$A$3:$M$510,4),0)</f>
        <v>0</v>
      </c>
      <c r="F43" s="54">
        <f>IF($A43&gt;0,$C43*VLOOKUP($A43,Düngemittel!$A$3:$M$510,5),0)</f>
        <v>0</v>
      </c>
      <c r="G43" s="54">
        <f>IF($A43&gt;0,$C43*VLOOKUP($A43,Düngemittel!$A$3:$M$510,6),0)</f>
        <v>0</v>
      </c>
      <c r="H43" s="54">
        <f>IF($A43&gt;0,$C43*VLOOKUP($A43,Düngemittel!$A$3:$M$510,8),0)</f>
        <v>29.759999999999998</v>
      </c>
      <c r="I43" s="55">
        <f>IF($A43&gt;0,$C43*VLOOKUP($A43,Düngemittel!$A$3:$M$510,7),0)</f>
        <v>0</v>
      </c>
      <c r="J43" s="308">
        <f>IF($A43&gt;0,VLOOKUP($A43,Düngemittel!$A$3:$S$510,10)*$C43,0)</f>
        <v>1.7050000000000001</v>
      </c>
    </row>
    <row r="44" spans="1:18" s="16" customFormat="1" ht="11.25" hidden="1" customHeight="1" x14ac:dyDescent="0.4">
      <c r="A44" s="192"/>
      <c r="B44" s="90" t="s">
        <v>246</v>
      </c>
      <c r="C44" s="264">
        <f>SUM(C36:C43)</f>
        <v>15.540000000000001</v>
      </c>
      <c r="D44" s="57"/>
      <c r="E44" s="57"/>
      <c r="F44" s="57"/>
      <c r="G44" s="57"/>
      <c r="H44" s="57"/>
      <c r="I44" s="58"/>
      <c r="J44" s="60">
        <f>SUM(J36:J43)</f>
        <v>221.14160000000001</v>
      </c>
      <c r="K44" s="390"/>
      <c r="L44" s="390"/>
      <c r="M44" s="390"/>
      <c r="N44" s="390"/>
      <c r="O44" s="390"/>
      <c r="P44" s="390"/>
      <c r="Q44" s="390"/>
      <c r="R44" s="390"/>
    </row>
    <row r="45" spans="1:18" ht="11.25" hidden="1" customHeight="1" x14ac:dyDescent="0.4">
      <c r="A45" s="224" t="s">
        <v>247</v>
      </c>
      <c r="B45" s="209"/>
      <c r="C45" s="129"/>
      <c r="D45" s="59">
        <f t="shared" ref="D45:I45" si="2">SUM(D36:D44)-E$24</f>
        <v>-0.35747999999998115</v>
      </c>
      <c r="E45" s="59">
        <f t="shared" si="2"/>
        <v>-0.33182181299999058</v>
      </c>
      <c r="F45" s="59">
        <f t="shared" si="2"/>
        <v>-0.29568736799999584</v>
      </c>
      <c r="G45" s="59">
        <f t="shared" si="2"/>
        <v>-0.11763678799999866</v>
      </c>
      <c r="H45" s="59">
        <f t="shared" si="2"/>
        <v>0.47422151999998619</v>
      </c>
      <c r="I45" s="59">
        <f t="shared" si="2"/>
        <v>-2.4935799999997954E-2</v>
      </c>
      <c r="J45" s="60"/>
      <c r="K45" s="61"/>
      <c r="L45" s="62"/>
      <c r="M45" s="62"/>
      <c r="R45" s="63"/>
    </row>
    <row r="46" spans="1:18" s="68" customFormat="1" ht="11.25" hidden="1" customHeight="1" x14ac:dyDescent="0.35">
      <c r="A46" s="64" t="s">
        <v>15</v>
      </c>
      <c r="B46" s="142" t="s">
        <v>248</v>
      </c>
      <c r="C46" s="65"/>
      <c r="D46" s="66"/>
      <c r="E46" s="67" t="s">
        <v>249</v>
      </c>
      <c r="F46" s="20" t="s">
        <v>250</v>
      </c>
      <c r="G46" s="19" t="s">
        <v>250</v>
      </c>
      <c r="H46" s="19" t="s">
        <v>251</v>
      </c>
      <c r="I46" s="19" t="s">
        <v>252</v>
      </c>
      <c r="J46" s="56"/>
      <c r="K46" s="69"/>
      <c r="L46" s="127" t="s">
        <v>253</v>
      </c>
      <c r="M46" s="69"/>
      <c r="R46" s="70"/>
    </row>
    <row r="47" spans="1:18" s="68" customFormat="1" ht="11.25" hidden="1" customHeight="1" x14ac:dyDescent="0.35">
      <c r="A47" s="71"/>
      <c r="B47" s="71"/>
      <c r="C47" s="72"/>
      <c r="D47" s="73"/>
      <c r="E47" s="74"/>
      <c r="F47" s="75" t="s">
        <v>249</v>
      </c>
      <c r="G47" s="23" t="s">
        <v>232</v>
      </c>
      <c r="H47" s="76" t="s">
        <v>254</v>
      </c>
      <c r="I47" s="23" t="s">
        <v>255</v>
      </c>
      <c r="J47" s="23"/>
      <c r="K47" s="69"/>
      <c r="L47" s="127" t="s">
        <v>256</v>
      </c>
      <c r="M47" s="69"/>
      <c r="R47" s="70"/>
    </row>
    <row r="48" spans="1:18" ht="11.25" hidden="1" customHeight="1" x14ac:dyDescent="0.4">
      <c r="A48" s="77">
        <v>107</v>
      </c>
      <c r="B48" s="78" t="str">
        <f>IF($A48&gt;0,VLOOKUP($A48,'Kosten Technik'!$A$2:$E$74,2),"")</f>
        <v>Düngung mit Kreiselstreuer, 24 m</v>
      </c>
      <c r="C48" s="78"/>
      <c r="D48" s="78"/>
      <c r="E48" s="51" t="str">
        <f>IF($A48&gt;0,VLOOKUP($A48,'Kosten Technik'!$A$2:$E$74,4),"")</f>
        <v>ha</v>
      </c>
      <c r="F48" s="79">
        <f>IF($A48&gt;0,VLOOKUP($A48,'Kosten Technik'!$A$2:$E$74,5),"")</f>
        <v>13.2</v>
      </c>
      <c r="G48" s="269">
        <f>F48</f>
        <v>13.2</v>
      </c>
      <c r="H48" s="80">
        <v>3</v>
      </c>
      <c r="I48" s="81">
        <v>1</v>
      </c>
      <c r="J48" s="82">
        <f t="shared" ref="J48:J53" si="3">+I48*G48*H48</f>
        <v>39.599999999999994</v>
      </c>
      <c r="K48" s="62"/>
      <c r="L48" s="127" t="s">
        <v>257</v>
      </c>
      <c r="M48" s="62"/>
      <c r="R48" s="63"/>
    </row>
    <row r="49" spans="1:21" ht="11.25" hidden="1" customHeight="1" x14ac:dyDescent="0.4">
      <c r="A49" s="83"/>
      <c r="B49" s="84" t="str">
        <f>IF($A49&gt;0,VLOOKUP($A49,'Kosten Technik'!$A$2:$E$74,2),"")</f>
        <v/>
      </c>
      <c r="C49" s="84"/>
      <c r="D49" s="84"/>
      <c r="E49" s="52" t="str">
        <f>IF($A49&gt;0,VLOOKUP($A49,'Kosten Technik'!$A$2:$E$74,4),"")</f>
        <v/>
      </c>
      <c r="F49" s="85" t="str">
        <f>IF($A49&gt;0,VLOOKUP($A49,'Kosten Technik'!$A$2:$E$74,5),"")</f>
        <v/>
      </c>
      <c r="G49" s="270" t="str">
        <f>+F49</f>
        <v/>
      </c>
      <c r="H49" s="86"/>
      <c r="I49" s="87"/>
      <c r="J49" s="82"/>
      <c r="K49" s="62"/>
      <c r="L49" s="127" t="s">
        <v>258</v>
      </c>
      <c r="M49" s="62"/>
      <c r="R49" s="63"/>
    </row>
    <row r="50" spans="1:21" ht="11.25" hidden="1" customHeight="1" x14ac:dyDescent="0.4">
      <c r="A50" s="83"/>
      <c r="B50" s="84" t="str">
        <f>IF($A50&gt;0,VLOOKUP($A50,'Kosten Technik'!$A$2:$E$74,2),"")</f>
        <v/>
      </c>
      <c r="C50" s="84"/>
      <c r="D50" s="84"/>
      <c r="E50" s="52" t="str">
        <f>IF($A50&gt;0,VLOOKUP($A50,'Kosten Technik'!$A$2:$E$74,4),"")</f>
        <v/>
      </c>
      <c r="F50" s="85" t="str">
        <f>IF($A50&gt;0,VLOOKUP($A50,'Kosten Technik'!$A$2:$E$74,5),"")</f>
        <v/>
      </c>
      <c r="G50" s="270" t="str">
        <f>+F50</f>
        <v/>
      </c>
      <c r="H50" s="86"/>
      <c r="I50" s="87"/>
      <c r="J50" s="82"/>
      <c r="K50" s="62"/>
      <c r="L50" s="127"/>
      <c r="M50" s="62"/>
      <c r="R50" s="63"/>
    </row>
    <row r="51" spans="1:21" ht="11.25" hidden="1" customHeight="1" x14ac:dyDescent="0.4">
      <c r="A51" s="83"/>
      <c r="B51" s="84" t="str">
        <f>IF($A51&gt;0,VLOOKUP($A51,'Kosten Technik'!$A$2:$E$74,2),"")</f>
        <v/>
      </c>
      <c r="C51" s="84"/>
      <c r="D51" s="84"/>
      <c r="E51" s="52" t="str">
        <f>IF($A51&gt;0,VLOOKUP($A51,'Kosten Technik'!$A$2:$E$74,4),"")</f>
        <v/>
      </c>
      <c r="F51" s="85" t="str">
        <f>IF($A51&gt;0,VLOOKUP($A51,'Kosten Technik'!$A$2:$E$74,5),"")</f>
        <v/>
      </c>
      <c r="G51" s="270" t="str">
        <f>+F51</f>
        <v/>
      </c>
      <c r="H51" s="86"/>
      <c r="I51" s="87"/>
      <c r="J51" s="82"/>
      <c r="K51" s="62"/>
      <c r="L51" s="127"/>
      <c r="M51" s="62"/>
      <c r="R51" s="63"/>
    </row>
    <row r="52" spans="1:21" ht="11.25" hidden="1" customHeight="1" x14ac:dyDescent="0.4">
      <c r="A52" s="83">
        <v>105</v>
      </c>
      <c r="B52" s="84" t="str">
        <f>IF($A52&gt;0,VLOOKUP($A52,'Kosten Technik'!$A$2:$E$74,2),"")</f>
        <v xml:space="preserve">Düngung mit Großbehälterstreuer </v>
      </c>
      <c r="C52" s="84"/>
      <c r="D52" s="84"/>
      <c r="E52" s="52" t="str">
        <f>IF($A52&gt;0,VLOOKUP($A52,'Kosten Technik'!$A$2:$E$74,4),"")</f>
        <v>dt</v>
      </c>
      <c r="F52" s="85">
        <f>IF($A52&gt;0,VLOOKUP($A52,'Kosten Technik'!$A$2:$E$74,5),"")</f>
        <v>3</v>
      </c>
      <c r="G52" s="270">
        <f>+F52*C39+F52*C38+F52*C37</f>
        <v>9.5399999999999991</v>
      </c>
      <c r="H52" s="86">
        <v>1</v>
      </c>
      <c r="I52" s="87">
        <v>1</v>
      </c>
      <c r="J52" s="82">
        <f t="shared" si="3"/>
        <v>9.5399999999999991</v>
      </c>
      <c r="K52" s="62"/>
      <c r="L52" s="127" t="s">
        <v>259</v>
      </c>
      <c r="M52" s="62"/>
      <c r="R52" s="63"/>
    </row>
    <row r="53" spans="1:21" ht="11.25" hidden="1" customHeight="1" x14ac:dyDescent="0.4">
      <c r="A53" s="83">
        <v>109</v>
      </c>
      <c r="B53" s="89" t="str">
        <f>IF($A53&gt;0,VLOOKUP($A53,'Kosten Technik'!$A$2:$E$74,2),"")</f>
        <v>Düngung kohls.Kalk im Lohnverfahren</v>
      </c>
      <c r="C53" s="89"/>
      <c r="D53" s="89"/>
      <c r="E53" s="52" t="str">
        <f>IF($A53&gt;0,VLOOKUP($A53,'Kosten Technik'!$A$2:$E$74,4),"")</f>
        <v>dt</v>
      </c>
      <c r="F53" s="85">
        <f>IF($A53&gt;0,VLOOKUP($A53,'Kosten Technik'!$A$2:$E$74,5),"")</f>
        <v>1</v>
      </c>
      <c r="G53" s="196">
        <f>+F53*C41+F53*C42+F53*C43</f>
        <v>9.1199999999999992</v>
      </c>
      <c r="H53" s="86">
        <v>1</v>
      </c>
      <c r="I53" s="132">
        <v>1</v>
      </c>
      <c r="J53" s="93">
        <f t="shared" si="3"/>
        <v>9.1199999999999992</v>
      </c>
      <c r="K53" s="62"/>
      <c r="L53" s="127" t="s">
        <v>260</v>
      </c>
      <c r="M53" s="62"/>
      <c r="R53" s="63"/>
    </row>
    <row r="54" spans="1:21" ht="11.25" hidden="1" customHeight="1" x14ac:dyDescent="0.4">
      <c r="A54" s="265"/>
      <c r="B54" s="89" t="s">
        <v>261</v>
      </c>
      <c r="C54" s="89"/>
      <c r="D54" s="89"/>
      <c r="E54" s="90"/>
      <c r="F54" s="91"/>
      <c r="G54" s="92"/>
      <c r="H54" s="266"/>
      <c r="I54" s="267"/>
      <c r="J54" s="93">
        <f>SUM(J48:J53)</f>
        <v>58.259999999999991</v>
      </c>
      <c r="K54" s="62"/>
      <c r="L54" s="127" t="s">
        <v>262</v>
      </c>
      <c r="M54" s="62"/>
      <c r="R54" s="63"/>
      <c r="S54" s="63"/>
      <c r="T54" s="63"/>
      <c r="U54" s="63"/>
    </row>
    <row r="55" spans="1:21" s="68" customFormat="1" ht="11.25" hidden="1" customHeight="1" x14ac:dyDescent="0.35">
      <c r="A55" s="64" t="s">
        <v>15</v>
      </c>
      <c r="B55" s="142" t="s">
        <v>263</v>
      </c>
      <c r="C55" s="65"/>
      <c r="D55" s="66"/>
      <c r="E55" s="67" t="s">
        <v>249</v>
      </c>
      <c r="F55" s="19" t="s">
        <v>250</v>
      </c>
      <c r="G55" s="19" t="s">
        <v>250</v>
      </c>
      <c r="H55" s="19" t="s">
        <v>264</v>
      </c>
      <c r="I55" s="19" t="s">
        <v>252</v>
      </c>
      <c r="J55" s="56"/>
      <c r="K55" s="69"/>
      <c r="L55" s="47"/>
      <c r="M55" s="69"/>
      <c r="R55" s="70"/>
    </row>
    <row r="56" spans="1:21" s="68" customFormat="1" ht="11.25" hidden="1" customHeight="1" x14ac:dyDescent="0.35">
      <c r="A56" s="71"/>
      <c r="B56" s="71"/>
      <c r="C56" s="72"/>
      <c r="D56" s="73"/>
      <c r="E56" s="74"/>
      <c r="F56" s="146" t="s">
        <v>249</v>
      </c>
      <c r="G56" s="23" t="s">
        <v>232</v>
      </c>
      <c r="H56" s="23"/>
      <c r="I56" s="23" t="s">
        <v>255</v>
      </c>
      <c r="J56" s="23"/>
      <c r="K56" s="69"/>
      <c r="L56" s="47"/>
      <c r="M56" s="69"/>
      <c r="R56" s="70"/>
    </row>
    <row r="57" spans="1:21" ht="11.25" hidden="1" customHeight="1" x14ac:dyDescent="0.4">
      <c r="A57" s="77"/>
      <c r="B57" s="143" t="str">
        <f>IF($A57&gt;0,VLOOKUP($A57,'Kosten Technik'!$A$2:$E$74,2),"")</f>
        <v/>
      </c>
      <c r="C57" s="78"/>
      <c r="D57" s="111"/>
      <c r="E57" s="51" t="str">
        <f>IF($A57&gt;0,VLOOKUP($A57,'Kosten Technik'!$A$2:$E$74,4),"")</f>
        <v/>
      </c>
      <c r="F57" s="79" t="str">
        <f>IF($A57&gt;0,VLOOKUP($A57,'Kosten Technik'!$A$2:$E$74,5),"")</f>
        <v/>
      </c>
      <c r="G57" s="196"/>
      <c r="H57" s="225"/>
      <c r="I57" s="81"/>
      <c r="J57" s="112"/>
      <c r="K57" s="62"/>
      <c r="L57" s="47"/>
      <c r="M57" s="62"/>
      <c r="R57" s="63"/>
      <c r="S57" s="63"/>
      <c r="T57" s="63"/>
      <c r="U57" s="63"/>
    </row>
    <row r="58" spans="1:21" ht="11.25" hidden="1" customHeight="1" x14ac:dyDescent="0.4">
      <c r="A58" s="83">
        <v>123</v>
      </c>
      <c r="B58" s="94" t="str">
        <f>IF($A58&gt;0,VLOOKUP($A58,'Kosten Technik'!$A$2:$E$74,2),"")</f>
        <v>Mineraldüngerlager, hofeigen</v>
      </c>
      <c r="C58" s="89"/>
      <c r="D58" s="144"/>
      <c r="E58" s="52" t="str">
        <f>IF($A58&gt;0,VLOOKUP($A58,'Kosten Technik'!$A$2:$E$74,4),"")</f>
        <v>dt</v>
      </c>
      <c r="F58" s="85">
        <f>IF($A58&gt;0,VLOOKUP($A58,'Kosten Technik'!$A$2:$E$74,5),"")</f>
        <v>1</v>
      </c>
      <c r="G58" s="196">
        <f>H58*F58</f>
        <v>6.4200000000000008</v>
      </c>
      <c r="H58" s="226">
        <f>C44-C41-C42-C43</f>
        <v>6.4200000000000008</v>
      </c>
      <c r="I58" s="87">
        <v>1</v>
      </c>
      <c r="J58" s="93">
        <f>+I58*F58*H58</f>
        <v>6.4200000000000008</v>
      </c>
      <c r="K58" s="62"/>
      <c r="L58" s="47"/>
      <c r="M58" s="62"/>
      <c r="R58" s="63"/>
      <c r="S58" s="63"/>
      <c r="T58" s="63"/>
      <c r="U58" s="63"/>
    </row>
    <row r="59" spans="1:21" ht="11.25" hidden="1" customHeight="1" x14ac:dyDescent="0.4">
      <c r="A59" s="265"/>
      <c r="B59" s="89" t="s">
        <v>265</v>
      </c>
      <c r="C59" s="89"/>
      <c r="D59" s="89"/>
      <c r="E59" s="52"/>
      <c r="F59" s="85"/>
      <c r="G59" s="145"/>
      <c r="H59" s="268"/>
      <c r="I59" s="267"/>
      <c r="J59" s="93">
        <f>SUM(J57:J58)</f>
        <v>6.4200000000000008</v>
      </c>
      <c r="K59" s="62"/>
      <c r="L59" s="62"/>
      <c r="M59" s="62"/>
      <c r="R59" s="63"/>
      <c r="S59" s="63"/>
      <c r="T59" s="63"/>
      <c r="U59" s="63"/>
    </row>
    <row r="60" spans="1:21" ht="11.25" hidden="1" customHeight="1" x14ac:dyDescent="0.4">
      <c r="A60" s="64" t="s">
        <v>15</v>
      </c>
      <c r="B60" s="496" t="s">
        <v>266</v>
      </c>
      <c r="C60" s="65"/>
      <c r="D60" s="66"/>
      <c r="E60" s="67" t="s">
        <v>249</v>
      </c>
      <c r="F60" s="19" t="s">
        <v>250</v>
      </c>
      <c r="G60" s="19" t="s">
        <v>250</v>
      </c>
      <c r="H60" s="19" t="s">
        <v>264</v>
      </c>
      <c r="I60" s="19" t="s">
        <v>252</v>
      </c>
      <c r="J60" s="56"/>
      <c r="K60" s="100"/>
      <c r="L60" s="63"/>
      <c r="M60" s="63"/>
      <c r="R60" s="47"/>
      <c r="S60" s="99"/>
    </row>
    <row r="61" spans="1:21" ht="11.25" hidden="1" customHeight="1" x14ac:dyDescent="0.4">
      <c r="A61" s="71"/>
      <c r="B61" s="71"/>
      <c r="C61" s="72"/>
      <c r="D61" s="73"/>
      <c r="E61" s="74"/>
      <c r="F61" s="146" t="s">
        <v>249</v>
      </c>
      <c r="G61" s="23" t="s">
        <v>232</v>
      </c>
      <c r="H61" s="23"/>
      <c r="I61" s="23" t="s">
        <v>255</v>
      </c>
      <c r="J61" s="23"/>
      <c r="K61" s="100"/>
      <c r="L61" s="63"/>
      <c r="M61" s="63"/>
      <c r="R61" s="47"/>
      <c r="S61" s="99"/>
    </row>
    <row r="62" spans="1:21" ht="11.25" hidden="1" customHeight="1" x14ac:dyDescent="0.4">
      <c r="A62" s="77"/>
      <c r="B62" s="143" t="str">
        <f>IF($A62&gt;0,VLOOKUP($A62,'Kosten Technik'!$A$2:$E$74,2),"")</f>
        <v/>
      </c>
      <c r="C62" s="78"/>
      <c r="D62" s="111"/>
      <c r="E62" s="51" t="str">
        <f>IF($A62&gt;0,VLOOKUP($A62,'Kosten Technik'!$A$2:$E$74,4),"")</f>
        <v/>
      </c>
      <c r="F62" s="79">
        <f>IF($A62&gt;0,VLOOKUP($A62,'Kosten Technik'!$A$2:$E$74,5),0)</f>
        <v>0</v>
      </c>
      <c r="G62" s="196">
        <f>H62*F62</f>
        <v>0</v>
      </c>
      <c r="H62" s="225">
        <f>SUM(C37:C40)</f>
        <v>3.1799999999999997</v>
      </c>
      <c r="I62" s="81">
        <v>1</v>
      </c>
      <c r="J62" s="112">
        <f>+I62*F62*H62</f>
        <v>0</v>
      </c>
      <c r="K62" s="100"/>
      <c r="L62" s="63"/>
      <c r="M62" s="63"/>
      <c r="R62" s="47"/>
      <c r="S62" s="99"/>
    </row>
    <row r="63" spans="1:21" ht="11.25" hidden="1" customHeight="1" x14ac:dyDescent="0.4">
      <c r="A63" s="83"/>
      <c r="B63" s="94" t="str">
        <f>IF($A63&gt;0,VLOOKUP($A63,'Kosten Technik'!$A$2:$E$74,2),"")</f>
        <v/>
      </c>
      <c r="C63" s="89"/>
      <c r="D63" s="144"/>
      <c r="E63" s="52" t="str">
        <f>IF($A63&gt;0,VLOOKUP($A63,'Kosten Technik'!$A$2:$E$74,4),"")</f>
        <v/>
      </c>
      <c r="F63" s="85">
        <f>IF($A63&gt;0,VLOOKUP($A63,'Kosten Technik'!$A$2:$E$74,5),0)</f>
        <v>0</v>
      </c>
      <c r="G63" s="196">
        <f>H63*F63</f>
        <v>0</v>
      </c>
      <c r="H63" s="226">
        <f>SUM(C41:C43)</f>
        <v>9.1199999999999992</v>
      </c>
      <c r="I63" s="87">
        <v>1</v>
      </c>
      <c r="J63" s="93">
        <f>+I63*F63*H63</f>
        <v>0</v>
      </c>
      <c r="K63" s="100"/>
      <c r="L63" s="63"/>
      <c r="M63" s="63"/>
      <c r="R63" s="47"/>
      <c r="S63" s="99"/>
    </row>
    <row r="64" spans="1:21" ht="11.25" hidden="1" customHeight="1" x14ac:dyDescent="0.4">
      <c r="A64" s="265"/>
      <c r="B64" s="260" t="s">
        <v>267</v>
      </c>
      <c r="C64" s="89"/>
      <c r="D64" s="89"/>
      <c r="E64" s="52"/>
      <c r="F64" s="85"/>
      <c r="G64" s="145"/>
      <c r="H64" s="268"/>
      <c r="I64" s="267"/>
      <c r="J64" s="93">
        <f>SUM(J62:J63)</f>
        <v>0</v>
      </c>
      <c r="K64" s="100"/>
      <c r="L64" s="63"/>
      <c r="M64" s="63"/>
      <c r="R64" s="47"/>
      <c r="S64" s="99"/>
    </row>
    <row r="65" spans="1:19" ht="11.25" hidden="1" customHeight="1" x14ac:dyDescent="0.4">
      <c r="A65" s="258"/>
      <c r="B65" s="95" t="s">
        <v>268</v>
      </c>
      <c r="C65" s="96"/>
      <c r="D65" s="96"/>
      <c r="E65" s="97"/>
      <c r="F65" s="97"/>
      <c r="G65" s="96"/>
      <c r="H65" s="96"/>
      <c r="I65" s="259"/>
      <c r="J65" s="98">
        <f>J44+J54+J59+J64</f>
        <v>285.82160000000005</v>
      </c>
      <c r="K65" s="100"/>
      <c r="L65" s="63"/>
      <c r="M65" s="63"/>
      <c r="R65" s="47"/>
      <c r="S65" s="99"/>
    </row>
    <row r="66" spans="1:19" ht="11.25" hidden="1" customHeight="1" x14ac:dyDescent="0.4">
      <c r="A66"/>
      <c r="B66" s="136"/>
      <c r="C66" s="137"/>
      <c r="D66" s="137"/>
      <c r="E66" s="138"/>
      <c r="F66" s="138"/>
      <c r="G66" s="137"/>
      <c r="H66" s="137"/>
      <c r="I66" s="139"/>
      <c r="J66" s="140"/>
      <c r="K66" s="100"/>
      <c r="L66" s="63"/>
      <c r="M66" s="63"/>
      <c r="R66" s="47"/>
      <c r="S66" s="99"/>
    </row>
    <row r="67" spans="1:19" ht="11.25" hidden="1" customHeight="1" x14ac:dyDescent="0.4">
      <c r="A67" s="135"/>
      <c r="B67" s="136"/>
      <c r="C67" s="137"/>
      <c r="D67" s="137"/>
      <c r="E67" s="138"/>
      <c r="F67" s="138"/>
      <c r="G67" s="137"/>
      <c r="H67" s="137"/>
      <c r="I67" s="139"/>
      <c r="J67" s="140"/>
      <c r="K67" s="100"/>
      <c r="L67" s="63"/>
      <c r="M67" s="63"/>
      <c r="R67" s="47"/>
      <c r="S67" s="99"/>
    </row>
    <row r="68" spans="1:19" ht="11.25" hidden="1" customHeight="1" x14ac:dyDescent="0.4">
      <c r="A68" s="135"/>
      <c r="B68" s="136"/>
      <c r="C68" s="137"/>
      <c r="D68" s="137"/>
      <c r="E68" s="138"/>
      <c r="F68" s="138"/>
      <c r="G68" s="137"/>
      <c r="H68" s="137"/>
      <c r="I68" s="139"/>
      <c r="J68" s="140"/>
      <c r="K68" s="100"/>
      <c r="L68" s="63"/>
      <c r="M68" s="63"/>
      <c r="R68" s="47"/>
      <c r="S68" s="99"/>
    </row>
    <row r="69" spans="1:19" ht="11.25" customHeight="1" x14ac:dyDescent="0.4">
      <c r="A69" s="127"/>
      <c r="B69" s="136"/>
      <c r="C69" s="137"/>
      <c r="D69" s="137"/>
      <c r="E69" s="138"/>
      <c r="F69" s="138"/>
      <c r="G69" s="137"/>
      <c r="H69" s="137"/>
      <c r="I69" s="139"/>
      <c r="J69" s="140"/>
      <c r="K69" s="100"/>
      <c r="L69" s="63"/>
      <c r="M69" s="63"/>
      <c r="R69" s="47"/>
      <c r="S69" s="99"/>
    </row>
    <row r="70" spans="1:19" ht="12.75" customHeight="1" x14ac:dyDescent="0.4">
      <c r="A70" s="497" t="s">
        <v>241</v>
      </c>
      <c r="B70" s="498" t="s">
        <v>269</v>
      </c>
      <c r="C70" s="217"/>
      <c r="D70" s="499"/>
      <c r="E70" s="499"/>
      <c r="F70" s="215"/>
      <c r="G70" s="215"/>
      <c r="H70" s="215"/>
      <c r="I70" s="215"/>
      <c r="J70" s="219"/>
      <c r="K70" s="100"/>
      <c r="L70" s="63"/>
    </row>
    <row r="71" spans="1:19" ht="11.25" customHeight="1" x14ac:dyDescent="0.35">
      <c r="A71" s="18" t="s">
        <v>15</v>
      </c>
      <c r="B71" s="19" t="s">
        <v>81</v>
      </c>
      <c r="C71" s="19" t="s">
        <v>243</v>
      </c>
      <c r="D71" s="19" t="s">
        <v>22</v>
      </c>
      <c r="E71" s="20" t="s">
        <v>71</v>
      </c>
      <c r="F71" s="19" t="s">
        <v>74</v>
      </c>
      <c r="G71" s="20" t="s">
        <v>23</v>
      </c>
      <c r="H71" s="19" t="s">
        <v>25</v>
      </c>
      <c r="I71" s="19" t="s">
        <v>24</v>
      </c>
      <c r="J71" s="19" t="s">
        <v>244</v>
      </c>
    </row>
    <row r="72" spans="1:19" ht="11.25" customHeight="1" x14ac:dyDescent="0.35">
      <c r="A72" s="48"/>
      <c r="B72" s="103"/>
      <c r="C72" s="24" t="s">
        <v>233</v>
      </c>
      <c r="D72" s="24" t="s">
        <v>234</v>
      </c>
      <c r="E72" s="49" t="s">
        <v>234</v>
      </c>
      <c r="F72" s="50" t="s">
        <v>234</v>
      </c>
      <c r="G72" s="49" t="s">
        <v>234</v>
      </c>
      <c r="H72" s="50" t="s">
        <v>234</v>
      </c>
      <c r="I72" s="50" t="s">
        <v>234</v>
      </c>
      <c r="J72" s="24" t="s">
        <v>245</v>
      </c>
    </row>
    <row r="73" spans="1:19" ht="11.25" customHeight="1" x14ac:dyDescent="0.35">
      <c r="A73" s="77">
        <v>5</v>
      </c>
      <c r="B73" s="52" t="str">
        <f>IF($A73&gt;0,VLOOKUP($A73,Düngemittel!$A$3:$I$510,2),"")</f>
        <v>Ammonnitrat-Harnstoff-Lösung AHL 28% N</v>
      </c>
      <c r="C73" s="231">
        <v>5.55</v>
      </c>
      <c r="D73" s="54">
        <f>IF($A73&gt;0,$C73*VLOOKUP($A73,Düngemittel!$A$3:$M$510,3),0)</f>
        <v>155.4</v>
      </c>
      <c r="E73" s="54">
        <f>IF($A73&gt;0,$C73*VLOOKUP($A73,Düngemittel!$A$3:$M$510,4),0)</f>
        <v>0</v>
      </c>
      <c r="F73" s="54">
        <f>IF($A73&gt;0,$C73*VLOOKUP($A73,Düngemittel!$A$3:$M$510,5),0)</f>
        <v>0</v>
      </c>
      <c r="G73" s="54">
        <f>IF($A73&gt;0,$C73*VLOOKUP($A73,Düngemittel!$A$3:$M$510,6),0)</f>
        <v>0</v>
      </c>
      <c r="H73" s="54">
        <f>IF($A73&gt;0,$C73*VLOOKUP($A73,Düngemittel!$A$3:$M$510,8),0)</f>
        <v>-155.4</v>
      </c>
      <c r="I73" s="55">
        <f>IF($A73&gt;0,$C73*VLOOKUP($A73,Düngemittel!$A$3:$M$510,7),0)</f>
        <v>0</v>
      </c>
      <c r="J73" s="237">
        <f>IF($A73&gt;0,VLOOKUP($A73,Düngemittel!$A$3:$S$510,10)*$C73,0)</f>
        <v>145.41</v>
      </c>
    </row>
    <row r="74" spans="1:19" ht="11.25" customHeight="1" x14ac:dyDescent="0.35">
      <c r="A74" s="83">
        <v>9</v>
      </c>
      <c r="B74" s="52" t="str">
        <f>IF($A74&gt;0,VLOOKUP($A74,Düngemittel!$A$3:$I$1362,2),"")</f>
        <v>Schwefelsaures Amoniak 21% N + 24% S,</v>
      </c>
      <c r="C74" s="53">
        <v>0.9</v>
      </c>
      <c r="D74" s="54">
        <f>IF($A74&gt;0,$C74*VLOOKUP($A74,Düngemittel!$A$3:$M$510,3),0)</f>
        <v>18.900000000000002</v>
      </c>
      <c r="E74" s="54">
        <f>IF($A74&gt;0,$C74*VLOOKUP($A74,Düngemittel!$A$3:$M$510,4),0)</f>
        <v>0</v>
      </c>
      <c r="F74" s="54">
        <f>IF($A74&gt;0,$C74*VLOOKUP($A74,Düngemittel!$A$3:$M$510,5),0)</f>
        <v>0</v>
      </c>
      <c r="G74" s="54">
        <f>IF($A74&gt;0,$C74*VLOOKUP($A74,Düngemittel!$A$3:$M$510,6),0)</f>
        <v>0</v>
      </c>
      <c r="H74" s="54">
        <f>IF($A74&gt;0,$C74*VLOOKUP($A74,Düngemittel!$A$3:$M$510,8),0)</f>
        <v>-56.7</v>
      </c>
      <c r="I74" s="55">
        <f>IF($A74&gt;0,$C74*VLOOKUP($A74,Düngemittel!$A$3:$M$510,7),0)</f>
        <v>21.6</v>
      </c>
      <c r="J74" s="237">
        <f>IF($A74&gt;0,VLOOKUP($A74,Düngemittel!$A$3:$S$510,10)*$C74,0)</f>
        <v>24.291</v>
      </c>
    </row>
    <row r="75" spans="1:19" ht="11.25" customHeight="1" x14ac:dyDescent="0.35">
      <c r="A75" s="83">
        <v>45</v>
      </c>
      <c r="B75" s="52" t="str">
        <f>IF($A75&gt;0,VLOOKUP($A75,Düngemittel!$A$3:$I$1362,2),"")</f>
        <v>Triple-Phosphat, 46 % P2O5</v>
      </c>
      <c r="C75" s="53">
        <v>1.1499999999999999</v>
      </c>
      <c r="D75" s="54">
        <f>IF($A75&gt;0,$C75*VLOOKUP($A75,Düngemittel!$A$3:$M$510,3),0)</f>
        <v>0</v>
      </c>
      <c r="E75" s="54">
        <f>IF($A75&gt;0,$C75*VLOOKUP($A75,Düngemittel!$A$3:$M$510,4),0)</f>
        <v>51.749999999999993</v>
      </c>
      <c r="F75" s="54">
        <f>IF($A75&gt;0,$C75*VLOOKUP($A75,Düngemittel!$A$3:$M$510,5),0)</f>
        <v>0</v>
      </c>
      <c r="G75" s="54">
        <f>IF($A75&gt;0,$C75*VLOOKUP($A75,Düngemittel!$A$3:$M$510,6),0)</f>
        <v>0</v>
      </c>
      <c r="H75" s="54">
        <f>IF($A75&gt;0,$C75*VLOOKUP($A75,Düngemittel!$A$3:$M$510,8),0)</f>
        <v>-3.4499999999999997</v>
      </c>
      <c r="I75" s="55">
        <f>IF($A75&gt;0,$C75*VLOOKUP($A75,Düngemittel!$A$3:$M$510,7),0)</f>
        <v>0</v>
      </c>
      <c r="J75" s="237">
        <f>IF($A75&gt;0,VLOOKUP($A75,Düngemittel!$A$3:$S$510,10)*$C75,0)</f>
        <v>44.39</v>
      </c>
    </row>
    <row r="76" spans="1:19" ht="11.25" customHeight="1" x14ac:dyDescent="0.35">
      <c r="A76" s="83">
        <v>50</v>
      </c>
      <c r="B76" s="52" t="str">
        <f>IF($A76&gt;0,VLOOKUP($A76,Düngemittel!$A$3:$I$1362,2),"")</f>
        <v>60er Kali</v>
      </c>
      <c r="C76" s="53">
        <v>1.05</v>
      </c>
      <c r="D76" s="54">
        <f>IF($A76&gt;0,$C76*VLOOKUP($A76,Düngemittel!$A$3:$M$510,3),0)</f>
        <v>0</v>
      </c>
      <c r="E76" s="54">
        <f>IF($A76&gt;0,$C76*VLOOKUP($A76,Düngemittel!$A$3:$M$510,4),0)</f>
        <v>0</v>
      </c>
      <c r="F76" s="54">
        <f>IF($A76&gt;0,$C76*VLOOKUP($A76,Düngemittel!$A$3:$M$510,5),0)</f>
        <v>63</v>
      </c>
      <c r="G76" s="54">
        <f>IF($A76&gt;0,$C76*VLOOKUP($A76,Düngemittel!$A$3:$M$510,6),0)</f>
        <v>0</v>
      </c>
      <c r="H76" s="54">
        <f>IF($A76&gt;0,$C76*VLOOKUP($A76,Düngemittel!$A$3:$M$510,8),0)</f>
        <v>0</v>
      </c>
      <c r="I76" s="55">
        <f>IF($A76&gt;0,$C76*VLOOKUP($A76,Düngemittel!$A$3:$M$510,7),0)</f>
        <v>0</v>
      </c>
      <c r="J76" s="237">
        <f>IF($A76&gt;0,VLOOKUP($A76,Düngemittel!$A$3:$S$510,10)*$C76,0)</f>
        <v>30.366000000000003</v>
      </c>
    </row>
    <row r="77" spans="1:19" ht="11.25" customHeight="1" x14ac:dyDescent="0.35">
      <c r="A77" s="83"/>
      <c r="B77" s="52" t="str">
        <f>IF($A77&gt;0,VLOOKUP($A77,Düngemittel!$A$3:$I$1362,2),"")</f>
        <v/>
      </c>
      <c r="C77" s="53"/>
      <c r="D77" s="54">
        <f>IF($A77&gt;0,$C77*VLOOKUP($A77,Düngemittel!$A$3:$M$510,3),0)</f>
        <v>0</v>
      </c>
      <c r="E77" s="54">
        <f>IF($A77&gt;0,$C77*VLOOKUP($A77,Düngemittel!$A$3:$M$510,4),0)</f>
        <v>0</v>
      </c>
      <c r="F77" s="54">
        <f>IF($A77&gt;0,$C77*VLOOKUP($A77,Düngemittel!$A$3:$M$510,5),0)</f>
        <v>0</v>
      </c>
      <c r="G77" s="54">
        <f>IF($A77&gt;0,$C77*VLOOKUP($A77,Düngemittel!$A$3:$M$510,6),0)</f>
        <v>0</v>
      </c>
      <c r="H77" s="54">
        <f>IF($A77&gt;0,$C77*VLOOKUP($A77,Düngemittel!$A$3:$M$510,8),0)</f>
        <v>0</v>
      </c>
      <c r="I77" s="55">
        <f>IF($A77&gt;0,$C77*VLOOKUP($A77,Düngemittel!$A$3:$M$510,7),0)</f>
        <v>0</v>
      </c>
      <c r="J77" s="237">
        <f>IF($A77&gt;0,VLOOKUP($A77,Düngemittel!$A$3:$S$510,10)*$C77,0)</f>
        <v>0</v>
      </c>
    </row>
    <row r="78" spans="1:19" ht="11.25" customHeight="1" x14ac:dyDescent="0.35">
      <c r="A78" s="83"/>
      <c r="B78" s="52" t="str">
        <f>IF($A78&gt;0,VLOOKUP($A78,Düngemittel!$A$3:$I$1362,2),"")</f>
        <v/>
      </c>
      <c r="C78" s="53"/>
      <c r="D78" s="54">
        <f>IF($A78&gt;0,$C78*VLOOKUP($A78,Düngemittel!$A$3:$M$510,3),0)</f>
        <v>0</v>
      </c>
      <c r="E78" s="54">
        <f>IF($A78&gt;0,$C78*VLOOKUP($A78,Düngemittel!$A$3:$M$510,4),0)</f>
        <v>0</v>
      </c>
      <c r="F78" s="54">
        <f>IF($A78&gt;0,$C78*VLOOKUP($A78,Düngemittel!$A$3:$M$510,5),0)</f>
        <v>0</v>
      </c>
      <c r="G78" s="54">
        <f>IF($A78&gt;0,$C78*VLOOKUP($A78,Düngemittel!$A$3:$M$510,6),0)</f>
        <v>0</v>
      </c>
      <c r="H78" s="54">
        <f>IF($A78&gt;0,$C78*VLOOKUP($A78,Düngemittel!$A$3:$M$510,8),0)</f>
        <v>0</v>
      </c>
      <c r="I78" s="55">
        <f>IF($A78&gt;0,$C78*VLOOKUP($A78,Düngemittel!$A$3:$M$510,7),0)</f>
        <v>0</v>
      </c>
      <c r="J78" s="237">
        <f>IF($A78&gt;0,VLOOKUP($A78,Düngemittel!$A$3:$S$510,10)*$C78,0)</f>
        <v>0</v>
      </c>
    </row>
    <row r="79" spans="1:19" ht="11.25" customHeight="1" x14ac:dyDescent="0.35">
      <c r="A79" s="83">
        <v>83</v>
      </c>
      <c r="B79" s="52" t="str">
        <f>IF($A79&gt;0,VLOOKUP($A79,Düngemittel!$A$3:$I$1362,2),"")</f>
        <v>Kohlensauer Kalk, 80 % CaCO3 + 5 MgCO3</v>
      </c>
      <c r="C79" s="53">
        <v>7.13</v>
      </c>
      <c r="D79" s="54">
        <f>IF($A79&gt;0,$C79*VLOOKUP($A79,Düngemittel!$A$3:$M$510,3),0)</f>
        <v>0</v>
      </c>
      <c r="E79" s="54">
        <f>IF($A79&gt;0,$C79*VLOOKUP($A79,Düngemittel!$A$3:$M$510,4),0)</f>
        <v>0</v>
      </c>
      <c r="F79" s="54">
        <f>IF($A79&gt;0,$C79*VLOOKUP($A79,Düngemittel!$A$3:$M$510,5),0)</f>
        <v>0</v>
      </c>
      <c r="G79" s="54">
        <f>IF($A79&gt;0,$C79*VLOOKUP($A79,Düngemittel!$A$3:$M$510,6),0)</f>
        <v>14.26</v>
      </c>
      <c r="H79" s="54">
        <f>IF($A79&gt;0,$C79*VLOOKUP($A79,Düngemittel!$A$3:$M$510,8),0)</f>
        <v>342.24</v>
      </c>
      <c r="I79" s="55">
        <f>IF($A79&gt;0,$C79*VLOOKUP($A79,Düngemittel!$A$3:$M$510,7),0)</f>
        <v>0</v>
      </c>
      <c r="J79" s="237">
        <f>IF($A79&gt;0,VLOOKUP($A79,Düngemittel!$A$3:$S$510,10)*$C79,0)</f>
        <v>20.3918</v>
      </c>
    </row>
    <row r="80" spans="1:19" ht="11.25" customHeight="1" x14ac:dyDescent="0.35">
      <c r="A80" s="27">
        <v>84</v>
      </c>
      <c r="B80" s="90" t="str">
        <f>IF($A80&gt;0,VLOOKUP($A80,Düngemittel!$A$3:$I$1362,2),"")</f>
        <v>Kohlensaurer Kalk 70+15</v>
      </c>
      <c r="C80" s="214">
        <v>1.75</v>
      </c>
      <c r="D80" s="54">
        <f>IF($A80&gt;0,$C80*VLOOKUP($A80,Düngemittel!$A$3:$M$510,3),0)</f>
        <v>0</v>
      </c>
      <c r="E80" s="54">
        <f>IF($A80&gt;0,$C80*VLOOKUP($A80,Düngemittel!$A$3:$M$510,4),0)</f>
        <v>0</v>
      </c>
      <c r="F80" s="54">
        <f>IF($A80&gt;0,$C80*VLOOKUP($A80,Düngemittel!$A$3:$M$510,5),0)</f>
        <v>0</v>
      </c>
      <c r="G80" s="54">
        <f>IF($A80&gt;0,$C80*VLOOKUP($A80,Düngemittel!$A$3:$M$510,6),0)</f>
        <v>12.25</v>
      </c>
      <c r="H80" s="54">
        <f>IF($A80&gt;0,$C80*VLOOKUP($A80,Düngemittel!$A$3:$M$510,8),0)</f>
        <v>85.75</v>
      </c>
      <c r="I80" s="55">
        <f>IF($A80&gt;0,$C80*VLOOKUP($A80,Düngemittel!$A$3:$M$510,7),0)</f>
        <v>0</v>
      </c>
      <c r="J80" s="308">
        <f>IF($A80&gt;0,VLOOKUP($A80,Düngemittel!$A$3:$S$510,10)*$C80,0)</f>
        <v>8.5050000000000008</v>
      </c>
    </row>
    <row r="81" spans="1:21" ht="11.25" customHeight="1" x14ac:dyDescent="0.35">
      <c r="A81" s="192"/>
      <c r="B81" s="52" t="s">
        <v>246</v>
      </c>
      <c r="C81" s="264">
        <f>SUM(C73:C80)</f>
        <v>17.53</v>
      </c>
      <c r="D81" s="57"/>
      <c r="E81" s="57"/>
      <c r="F81" s="57"/>
      <c r="G81" s="57"/>
      <c r="H81" s="57"/>
      <c r="I81" s="58"/>
      <c r="J81" s="60">
        <f>SUM(J73:J80)</f>
        <v>273.35380000000004</v>
      </c>
    </row>
    <row r="82" spans="1:21" ht="11.25" customHeight="1" x14ac:dyDescent="0.4">
      <c r="A82" s="224" t="s">
        <v>247</v>
      </c>
      <c r="B82" s="43"/>
      <c r="C82" s="129"/>
      <c r="D82" s="59">
        <f t="shared" ref="D82:I82" si="4">SUM(D73:D80)-E$24</f>
        <v>2.5200000000040745E-3</v>
      </c>
      <c r="E82" s="59">
        <f t="shared" si="4"/>
        <v>-6.1821812999994563E-2</v>
      </c>
      <c r="F82" s="59">
        <f t="shared" si="4"/>
        <v>-9.5687368000000106E-2</v>
      </c>
      <c r="G82" s="59">
        <f t="shared" si="4"/>
        <v>-2.7636788000002355E-2</v>
      </c>
      <c r="H82" s="59">
        <f t="shared" si="4"/>
        <v>-0.1157784799999888</v>
      </c>
      <c r="I82" s="59">
        <f t="shared" si="4"/>
        <v>0.41506420000000332</v>
      </c>
      <c r="J82" s="60"/>
      <c r="K82" s="61"/>
      <c r="L82" s="62"/>
      <c r="M82" s="62"/>
      <c r="R82" s="63"/>
    </row>
    <row r="83" spans="1:21" s="68" customFormat="1" ht="11.25" customHeight="1" x14ac:dyDescent="0.35">
      <c r="A83" s="64" t="s">
        <v>15</v>
      </c>
      <c r="B83" s="64" t="s">
        <v>248</v>
      </c>
      <c r="C83" s="105"/>
      <c r="D83" s="106"/>
      <c r="E83" s="67"/>
      <c r="F83" s="20" t="s">
        <v>250</v>
      </c>
      <c r="G83" s="19" t="s">
        <v>250</v>
      </c>
      <c r="H83" s="128" t="s">
        <v>251</v>
      </c>
      <c r="I83" s="19" t="s">
        <v>252</v>
      </c>
      <c r="J83" s="107"/>
      <c r="K83" s="69"/>
      <c r="L83" s="69"/>
      <c r="M83" s="69"/>
      <c r="R83" s="70"/>
    </row>
    <row r="84" spans="1:21" s="68" customFormat="1" ht="11.25" customHeight="1" x14ac:dyDescent="0.4">
      <c r="A84" s="71"/>
      <c r="B84" s="500"/>
      <c r="C84" s="108"/>
      <c r="D84" s="109"/>
      <c r="E84" s="74" t="s">
        <v>249</v>
      </c>
      <c r="F84" s="75" t="s">
        <v>249</v>
      </c>
      <c r="G84" s="23" t="s">
        <v>232</v>
      </c>
      <c r="H84" s="76" t="s">
        <v>254</v>
      </c>
      <c r="I84" s="23" t="s">
        <v>255</v>
      </c>
      <c r="J84" s="110"/>
      <c r="K84" s="69"/>
      <c r="L84" s="69"/>
      <c r="M84" s="69"/>
      <c r="R84" s="70"/>
    </row>
    <row r="85" spans="1:21" ht="11.25" customHeight="1" x14ac:dyDescent="0.4">
      <c r="A85" s="77">
        <v>106</v>
      </c>
      <c r="B85" s="78" t="str">
        <f>IF($A85&gt;0,VLOOKUP($A85,'Kosten Technik'!$A$2:$E$74,2),"")</f>
        <v>Düngung AHL mit Feldspritze, 24 m</v>
      </c>
      <c r="C85" s="78"/>
      <c r="D85" s="111"/>
      <c r="E85" s="51" t="str">
        <f>IF($A85&gt;0,VLOOKUP($A85,'Kosten Technik'!$A$2:$E$74,4),"")</f>
        <v>ha</v>
      </c>
      <c r="F85" s="79">
        <f>IF($A85&gt;0,VLOOKUP($A85,'Kosten Technik'!$A$2:$E$74,5),"")</f>
        <v>18.7</v>
      </c>
      <c r="G85" s="269">
        <f>+F85</f>
        <v>18.7</v>
      </c>
      <c r="H85" s="80">
        <v>3</v>
      </c>
      <c r="I85" s="81">
        <v>0.8</v>
      </c>
      <c r="J85" s="112">
        <f>+I85*H85*G85</f>
        <v>44.88</v>
      </c>
      <c r="K85" s="62"/>
      <c r="L85" s="62"/>
      <c r="M85" s="62"/>
      <c r="R85" s="63"/>
    </row>
    <row r="86" spans="1:21" ht="11.25" customHeight="1" x14ac:dyDescent="0.4">
      <c r="A86" s="83"/>
      <c r="B86" s="84" t="str">
        <f>IF($A86&gt;0,VLOOKUP($A86,'Kosten Technik'!$A$2:$E$74,2),"")</f>
        <v/>
      </c>
      <c r="C86" s="84"/>
      <c r="D86" s="113"/>
      <c r="E86" s="52" t="str">
        <f>IF($A86&gt;0,VLOOKUP($A86,'Kosten Technik'!$A$2:$E$74,4),"")</f>
        <v/>
      </c>
      <c r="F86" s="85" t="str">
        <f>IF($A86&gt;0,VLOOKUP($A86,'Kosten Technik'!$A$2:$E$74,5),"")</f>
        <v/>
      </c>
      <c r="G86" s="270"/>
      <c r="H86" s="86"/>
      <c r="I86" s="87"/>
      <c r="J86" s="82"/>
      <c r="K86" s="62"/>
      <c r="L86" s="62"/>
      <c r="M86" s="62"/>
      <c r="R86" s="63"/>
    </row>
    <row r="87" spans="1:21" ht="11.25" customHeight="1" x14ac:dyDescent="0.4">
      <c r="A87" s="83">
        <v>105</v>
      </c>
      <c r="B87" s="84" t="str">
        <f>IF($A87&gt;0,VLOOKUP($A87,'Kosten Technik'!$A$2:$E$74,2),"")</f>
        <v xml:space="preserve">Düngung mit Großbehälterstreuer </v>
      </c>
      <c r="C87" s="84"/>
      <c r="D87" s="113"/>
      <c r="E87" s="52" t="str">
        <f>IF($A87&gt;0,VLOOKUP($A87,'Kosten Technik'!$A$2:$E$74,4),"")</f>
        <v>dt</v>
      </c>
      <c r="F87" s="85">
        <f>IF($A87&gt;0,VLOOKUP($A87,'Kosten Technik'!$A$2:$E$74,5),"")</f>
        <v>3</v>
      </c>
      <c r="G87" s="270">
        <f>+F87</f>
        <v>3</v>
      </c>
      <c r="H87" s="86">
        <v>2.2000000000000002</v>
      </c>
      <c r="I87" s="87">
        <v>1</v>
      </c>
      <c r="J87" s="317">
        <f>+I87*H87*G87</f>
        <v>6.6000000000000005</v>
      </c>
      <c r="K87" s="62"/>
      <c r="L87" s="62"/>
      <c r="M87" s="62"/>
      <c r="R87" s="63"/>
    </row>
    <row r="88" spans="1:21" ht="11.25" hidden="1" customHeight="1" x14ac:dyDescent="0.4">
      <c r="A88" s="83"/>
      <c r="B88" s="84" t="str">
        <f>IF($A88&gt;0,VLOOKUP($A88,'Kosten Technik'!$A$2:$E$74,2),"")</f>
        <v/>
      </c>
      <c r="C88" s="84"/>
      <c r="D88" s="113"/>
      <c r="E88" s="52" t="str">
        <f>IF($A88&gt;0,VLOOKUP($A88,'Kosten Technik'!$A$2:$E$74,4),"")</f>
        <v/>
      </c>
      <c r="F88" s="85" t="str">
        <f>IF($A88&gt;0,VLOOKUP($A88,'Kosten Technik'!$A$2:$E$74,5),"")</f>
        <v/>
      </c>
      <c r="G88" s="270"/>
      <c r="H88" s="86"/>
      <c r="I88" s="87"/>
      <c r="J88" s="82"/>
      <c r="K88" s="62"/>
      <c r="L88" s="62"/>
      <c r="M88" s="62"/>
      <c r="R88" s="63"/>
    </row>
    <row r="89" spans="1:21" ht="11.25" hidden="1" customHeight="1" x14ac:dyDescent="0.4">
      <c r="A89" s="83"/>
      <c r="B89" s="84" t="str">
        <f>IF($A89&gt;0,VLOOKUP($A89,'Kosten Technik'!$A$2:$E$74,2),"")</f>
        <v/>
      </c>
      <c r="C89" s="84"/>
      <c r="D89" s="113"/>
      <c r="E89" s="52" t="str">
        <f>IF($A89&gt;0,VLOOKUP($A89,'Kosten Technik'!$A$2:$E$74,4),"")</f>
        <v/>
      </c>
      <c r="F89" s="85" t="str">
        <f>IF($A89&gt;0,VLOOKUP($A89,'Kosten Technik'!$A$2:$E$74,5),"")</f>
        <v/>
      </c>
      <c r="G89" s="270"/>
      <c r="H89" s="86"/>
      <c r="I89" s="87"/>
      <c r="J89" s="82"/>
      <c r="K89" s="62"/>
      <c r="L89" s="62"/>
      <c r="M89" s="62"/>
      <c r="R89" s="63"/>
    </row>
    <row r="90" spans="1:21" ht="11.25" customHeight="1" x14ac:dyDescent="0.4">
      <c r="A90" s="83">
        <v>109</v>
      </c>
      <c r="B90" s="89" t="str">
        <f>IF($A90&gt;0,VLOOKUP($A90,'Kosten Technik'!$A$2:$E$74,2),"")</f>
        <v>Düngung kohls.Kalk im Lohnverfahren</v>
      </c>
      <c r="C90" s="89"/>
      <c r="D90" s="89"/>
      <c r="E90" s="52" t="str">
        <f>IF($A90&gt;0,VLOOKUP($A90,'Kosten Technik'!$A$2:$E$74,4),"")</f>
        <v>dt</v>
      </c>
      <c r="F90" s="85">
        <f>IF($A90&gt;0,VLOOKUP($A90,'Kosten Technik'!$A$2:$E$74,5),"")</f>
        <v>1</v>
      </c>
      <c r="G90" s="196">
        <f>+F90*C78+F90*C79+F90*C80</f>
        <v>8.879999999999999</v>
      </c>
      <c r="H90" s="86">
        <v>1</v>
      </c>
      <c r="I90" s="132">
        <v>1</v>
      </c>
      <c r="J90" s="93">
        <f>+I90*H90*G90</f>
        <v>8.879999999999999</v>
      </c>
      <c r="K90" s="62"/>
      <c r="L90" s="62"/>
      <c r="M90" s="62"/>
      <c r="R90" s="63"/>
      <c r="S90" s="63"/>
      <c r="T90" s="63"/>
      <c r="U90" s="63"/>
    </row>
    <row r="91" spans="1:21" ht="11.25" customHeight="1" x14ac:dyDescent="0.4">
      <c r="A91" s="265"/>
      <c r="B91" s="89" t="s">
        <v>261</v>
      </c>
      <c r="C91" s="89"/>
      <c r="D91" s="89"/>
      <c r="E91" s="90"/>
      <c r="F91" s="91"/>
      <c r="G91" s="92"/>
      <c r="H91" s="266"/>
      <c r="I91" s="267"/>
      <c r="J91" s="93">
        <f>SUM(J85:J90)</f>
        <v>60.36</v>
      </c>
      <c r="K91" s="62"/>
      <c r="L91" s="62"/>
      <c r="M91" s="62"/>
      <c r="R91" s="63"/>
      <c r="S91" s="63"/>
      <c r="T91" s="63"/>
      <c r="U91" s="63"/>
    </row>
    <row r="92" spans="1:21" ht="11.25" customHeight="1" x14ac:dyDescent="0.4">
      <c r="A92" s="64" t="s">
        <v>15</v>
      </c>
      <c r="B92" s="142" t="s">
        <v>263</v>
      </c>
      <c r="C92" s="65"/>
      <c r="D92" s="66"/>
      <c r="E92" s="67" t="s">
        <v>249</v>
      </c>
      <c r="F92" s="19" t="s">
        <v>250</v>
      </c>
      <c r="G92" s="19" t="s">
        <v>250</v>
      </c>
      <c r="H92" s="19" t="s">
        <v>264</v>
      </c>
      <c r="I92" s="19" t="s">
        <v>252</v>
      </c>
      <c r="J92" s="56"/>
      <c r="K92" s="62"/>
      <c r="L92" s="62"/>
      <c r="M92" s="62"/>
      <c r="R92" s="63"/>
      <c r="S92" s="63"/>
      <c r="T92" s="63"/>
      <c r="U92" s="63"/>
    </row>
    <row r="93" spans="1:21" ht="11.25" customHeight="1" x14ac:dyDescent="0.4">
      <c r="A93" s="71"/>
      <c r="B93" s="71"/>
      <c r="C93" s="72"/>
      <c r="D93" s="73"/>
      <c r="E93" s="74"/>
      <c r="F93" s="146" t="s">
        <v>249</v>
      </c>
      <c r="G93" s="23" t="s">
        <v>232</v>
      </c>
      <c r="H93" s="23"/>
      <c r="I93" s="23" t="s">
        <v>255</v>
      </c>
      <c r="J93" s="23"/>
      <c r="K93" s="62"/>
      <c r="L93" s="62"/>
      <c r="M93" s="62"/>
      <c r="R93" s="63"/>
      <c r="S93" s="63"/>
      <c r="T93" s="63"/>
      <c r="U93" s="63"/>
    </row>
    <row r="94" spans="1:21" ht="11.25" customHeight="1" x14ac:dyDescent="0.4">
      <c r="A94" s="77">
        <v>125</v>
      </c>
      <c r="B94" s="143" t="str">
        <f>IF($A94&gt;0,VLOOKUP($A94,'Kosten Technik'!$A$2:$E$74,2),"")</f>
        <v>AHL-Lager, hofeigen</v>
      </c>
      <c r="C94" s="78"/>
      <c r="D94" s="111"/>
      <c r="E94" s="51" t="str">
        <f>IF($A94&gt;0,VLOOKUP($A94,'Kosten Technik'!$A$2:$E$74,4),"")</f>
        <v>dt</v>
      </c>
      <c r="F94" s="79">
        <f>IF($A94&gt;0,VLOOKUP($A94,'Kosten Technik'!$A$2:$E$74,5),"")</f>
        <v>1.6</v>
      </c>
      <c r="G94" s="196"/>
      <c r="H94" s="226">
        <f>C73</f>
        <v>5.55</v>
      </c>
      <c r="I94" s="87">
        <v>1</v>
      </c>
      <c r="J94" s="317">
        <f>+I94*F94*H94</f>
        <v>8.8800000000000008</v>
      </c>
      <c r="K94" s="62"/>
      <c r="L94" s="62"/>
      <c r="M94" s="62"/>
      <c r="R94" s="63"/>
      <c r="S94" s="63"/>
      <c r="T94" s="63"/>
      <c r="U94" s="63"/>
    </row>
    <row r="95" spans="1:21" ht="11.25" customHeight="1" x14ac:dyDescent="0.4">
      <c r="A95" s="83">
        <v>123</v>
      </c>
      <c r="B95" s="94" t="str">
        <f>IF($A95&gt;0,VLOOKUP($A95,'Kosten Technik'!$A$2:$E$74,2),"")</f>
        <v>Mineraldüngerlager, hofeigen</v>
      </c>
      <c r="C95" s="89"/>
      <c r="D95" s="144"/>
      <c r="E95" s="52" t="str">
        <f>IF($A95&gt;0,VLOOKUP($A95,'Kosten Technik'!$A$2:$E$74,4),"")</f>
        <v>dt</v>
      </c>
      <c r="F95" s="85">
        <f>IF($A95&gt;0,VLOOKUP($A95,'Kosten Technik'!$A$2:$E$74,5),"")</f>
        <v>1</v>
      </c>
      <c r="G95" s="196"/>
      <c r="H95" s="226">
        <f>C81-C73-C78-C79-C80</f>
        <v>3.1000000000000005</v>
      </c>
      <c r="I95" s="87">
        <v>1</v>
      </c>
      <c r="J95" s="93">
        <f>+I95*F95*H95</f>
        <v>3.1000000000000005</v>
      </c>
      <c r="K95" s="62"/>
      <c r="L95" s="62"/>
      <c r="M95" s="62"/>
      <c r="R95" s="63"/>
      <c r="S95" s="63"/>
      <c r="T95" s="63"/>
      <c r="U95" s="63"/>
    </row>
    <row r="96" spans="1:21" ht="11.25" customHeight="1" x14ac:dyDescent="0.4">
      <c r="A96" s="265"/>
      <c r="B96" s="89" t="s">
        <v>265</v>
      </c>
      <c r="C96" s="89"/>
      <c r="D96" s="89"/>
      <c r="E96" s="52"/>
      <c r="F96" s="85"/>
      <c r="G96" s="145"/>
      <c r="H96" s="268"/>
      <c r="I96" s="267"/>
      <c r="J96" s="93">
        <f>SUM(J94:J95)</f>
        <v>11.98</v>
      </c>
      <c r="K96" s="62"/>
      <c r="L96" s="62"/>
      <c r="M96" s="62"/>
      <c r="R96" s="63"/>
      <c r="S96" s="63"/>
      <c r="T96" s="63"/>
      <c r="U96" s="63"/>
    </row>
    <row r="97" spans="1:19" ht="11.25" customHeight="1" x14ac:dyDescent="0.4">
      <c r="A97" s="64" t="s">
        <v>15</v>
      </c>
      <c r="B97" s="496" t="s">
        <v>266</v>
      </c>
      <c r="C97" s="65"/>
      <c r="D97" s="66"/>
      <c r="E97" s="67" t="s">
        <v>249</v>
      </c>
      <c r="F97" s="19" t="s">
        <v>250</v>
      </c>
      <c r="G97" s="19" t="s">
        <v>250</v>
      </c>
      <c r="H97" s="19" t="s">
        <v>264</v>
      </c>
      <c r="I97" s="19" t="s">
        <v>252</v>
      </c>
      <c r="J97" s="56"/>
      <c r="K97" s="100"/>
      <c r="L97" s="63"/>
      <c r="M97" s="63"/>
      <c r="R97" s="47"/>
      <c r="S97" s="99"/>
    </row>
    <row r="98" spans="1:19" ht="11.25" customHeight="1" x14ac:dyDescent="0.4">
      <c r="A98" s="71"/>
      <c r="B98" s="71"/>
      <c r="C98" s="72"/>
      <c r="D98" s="73"/>
      <c r="E98" s="74"/>
      <c r="F98" s="146" t="s">
        <v>249</v>
      </c>
      <c r="G98" s="23" t="s">
        <v>232</v>
      </c>
      <c r="H98" s="23"/>
      <c r="I98" s="23" t="s">
        <v>255</v>
      </c>
      <c r="J98" s="23"/>
      <c r="K98" s="100"/>
      <c r="L98" s="63"/>
      <c r="M98" s="63"/>
      <c r="R98" s="47"/>
      <c r="S98" s="99"/>
    </row>
    <row r="99" spans="1:19" ht="11.25" customHeight="1" x14ac:dyDescent="0.4">
      <c r="A99" s="77">
        <v>141</v>
      </c>
      <c r="B99" s="143" t="str">
        <f>IF($A99&gt;0,VLOOKUP($A99,'Kosten Technik'!$A$2:$E$74,2),"")</f>
        <v>LKW-Lieferung unter 100 km</v>
      </c>
      <c r="C99" s="78"/>
      <c r="D99" s="111"/>
      <c r="E99" s="51" t="str">
        <f>IF($A99&gt;0,VLOOKUP($A99,'Kosten Technik'!$A$2:$E$74,4),"")</f>
        <v>dt</v>
      </c>
      <c r="F99" s="79">
        <f>IF($A99&gt;0,VLOOKUP($A99,'Kosten Technik'!$A$2:$E$74,5),0)</f>
        <v>0.9</v>
      </c>
      <c r="G99" s="196">
        <f>H99*F99</f>
        <v>7.7850000000000001</v>
      </c>
      <c r="H99" s="225">
        <f>SUM(C73:C77)</f>
        <v>8.65</v>
      </c>
      <c r="I99" s="81">
        <v>1</v>
      </c>
      <c r="J99" s="112">
        <f>+I99*F99*H99</f>
        <v>7.7850000000000001</v>
      </c>
      <c r="K99" s="100"/>
      <c r="L99" s="63"/>
      <c r="M99" s="63"/>
      <c r="R99" s="47"/>
      <c r="S99" s="99"/>
    </row>
    <row r="100" spans="1:19" ht="11.25" customHeight="1" x14ac:dyDescent="0.4">
      <c r="A100" s="83">
        <v>141</v>
      </c>
      <c r="B100" s="94" t="str">
        <f>IF($A100&gt;0,VLOOKUP($A100,'Kosten Technik'!$A$2:$E$74,2),"")</f>
        <v>LKW-Lieferung unter 100 km</v>
      </c>
      <c r="C100" s="89"/>
      <c r="D100" s="144"/>
      <c r="E100" s="52" t="str">
        <f>IF($A100&gt;0,VLOOKUP($A100,'Kosten Technik'!$A$2:$E$74,4),"")</f>
        <v>dt</v>
      </c>
      <c r="F100" s="85">
        <f>IF($A100&gt;0,VLOOKUP($A100,'Kosten Technik'!$A$2:$E$74,5),0)</f>
        <v>0.9</v>
      </c>
      <c r="G100" s="196">
        <f>H100*F100</f>
        <v>7.9919999999999991</v>
      </c>
      <c r="H100" s="226">
        <f>SUM(C78:C80)</f>
        <v>8.879999999999999</v>
      </c>
      <c r="I100" s="87">
        <v>1</v>
      </c>
      <c r="J100" s="93">
        <f>+I100*F100*H100</f>
        <v>7.9919999999999991</v>
      </c>
      <c r="K100" s="100"/>
      <c r="L100" s="63"/>
      <c r="M100" s="63"/>
      <c r="R100" s="47"/>
      <c r="S100" s="99"/>
    </row>
    <row r="101" spans="1:19" ht="11.25" customHeight="1" x14ac:dyDescent="0.4">
      <c r="A101" s="265"/>
      <c r="B101" s="260" t="s">
        <v>267</v>
      </c>
      <c r="C101" s="89"/>
      <c r="D101" s="89"/>
      <c r="E101" s="52"/>
      <c r="F101" s="85"/>
      <c r="G101" s="145"/>
      <c r="H101" s="268"/>
      <c r="I101" s="267"/>
      <c r="J101" s="93">
        <f>SUM(J99:J100)</f>
        <v>15.776999999999999</v>
      </c>
      <c r="K101" s="100"/>
      <c r="L101" s="63"/>
      <c r="M101" s="63"/>
      <c r="R101" s="47"/>
      <c r="S101" s="99"/>
    </row>
    <row r="102" spans="1:19" ht="11.25" customHeight="1" x14ac:dyDescent="0.4">
      <c r="A102" s="258"/>
      <c r="B102" s="95" t="s">
        <v>268</v>
      </c>
      <c r="C102" s="96"/>
      <c r="D102" s="96"/>
      <c r="E102" s="97"/>
      <c r="F102" s="97"/>
      <c r="G102" s="96"/>
      <c r="H102" s="96"/>
      <c r="I102" s="259"/>
      <c r="J102" s="98">
        <f>J81+J91+J96+J101</f>
        <v>361.47080000000005</v>
      </c>
      <c r="K102" s="100"/>
      <c r="L102" s="63"/>
      <c r="M102" s="63"/>
      <c r="R102" s="47"/>
      <c r="S102" s="99"/>
    </row>
    <row r="103" spans="1:19" ht="11.25" customHeight="1" x14ac:dyDescent="0.4">
      <c r="A103" s="135"/>
      <c r="B103" s="136"/>
      <c r="C103" s="137"/>
      <c r="D103" s="137"/>
      <c r="E103" s="138"/>
      <c r="F103" s="138"/>
      <c r="G103" s="137"/>
      <c r="H103" s="137"/>
      <c r="I103" s="139"/>
      <c r="J103" s="140"/>
      <c r="K103" s="100"/>
      <c r="L103" s="63"/>
      <c r="M103" s="63"/>
      <c r="R103" s="47"/>
      <c r="S103" s="99"/>
    </row>
    <row r="104" spans="1:19" ht="11.25" customHeight="1" x14ac:dyDescent="0.4">
      <c r="A104" s="501"/>
      <c r="B104" s="501"/>
      <c r="C104" s="501"/>
      <c r="D104" s="501"/>
      <c r="E104" s="390"/>
      <c r="F104" s="502"/>
      <c r="I104" s="101"/>
      <c r="J104" s="100"/>
      <c r="K104" s="100"/>
      <c r="L104" s="102"/>
      <c r="M104" s="102"/>
      <c r="R104" s="47"/>
      <c r="S104" s="99"/>
    </row>
    <row r="105" spans="1:19" ht="12.75" customHeight="1" x14ac:dyDescent="0.4">
      <c r="A105" s="497" t="s">
        <v>270</v>
      </c>
      <c r="B105" s="498" t="s">
        <v>271</v>
      </c>
      <c r="C105" s="217"/>
      <c r="D105" s="495"/>
      <c r="E105" s="409"/>
      <c r="F105" s="503"/>
      <c r="G105" s="215"/>
      <c r="H105" s="215"/>
      <c r="I105" s="216"/>
      <c r="J105" s="493"/>
      <c r="K105" s="100"/>
      <c r="L105" s="102"/>
      <c r="M105" s="102"/>
      <c r="R105" s="47"/>
      <c r="S105" s="99"/>
    </row>
    <row r="106" spans="1:19" ht="11.25" customHeight="1" x14ac:dyDescent="0.35">
      <c r="A106" s="18" t="s">
        <v>15</v>
      </c>
      <c r="B106" s="19" t="s">
        <v>81</v>
      </c>
      <c r="C106" s="19" t="s">
        <v>243</v>
      </c>
      <c r="D106" s="19" t="s">
        <v>22</v>
      </c>
      <c r="E106" s="20" t="s">
        <v>71</v>
      </c>
      <c r="F106" s="19" t="s">
        <v>74</v>
      </c>
      <c r="G106" s="20" t="s">
        <v>23</v>
      </c>
      <c r="H106" s="19" t="s">
        <v>25</v>
      </c>
      <c r="I106" s="20" t="s">
        <v>24</v>
      </c>
      <c r="J106" s="19" t="s">
        <v>244</v>
      </c>
    </row>
    <row r="107" spans="1:19" ht="11.25" customHeight="1" x14ac:dyDescent="0.35">
      <c r="A107" s="48"/>
      <c r="B107" s="103"/>
      <c r="C107" s="24" t="s">
        <v>233</v>
      </c>
      <c r="D107" s="24" t="s">
        <v>234</v>
      </c>
      <c r="E107" s="49" t="s">
        <v>234</v>
      </c>
      <c r="F107" s="50" t="s">
        <v>234</v>
      </c>
      <c r="G107" s="49" t="s">
        <v>234</v>
      </c>
      <c r="H107" s="50" t="s">
        <v>234</v>
      </c>
      <c r="I107" s="49" t="s">
        <v>234</v>
      </c>
      <c r="J107" s="24" t="s">
        <v>245</v>
      </c>
    </row>
    <row r="108" spans="1:19" ht="11.25" customHeight="1" x14ac:dyDescent="0.4">
      <c r="A108" s="77">
        <v>3</v>
      </c>
      <c r="B108" s="52" t="str">
        <f>IF($A108&gt;0,VLOOKUP($A108,Düngemittel!$A$3:$I$510,2),"")</f>
        <v>Harnstoff, 46 % N, stabilisiert</v>
      </c>
      <c r="C108" s="231">
        <v>3.38</v>
      </c>
      <c r="D108" s="54">
        <f>IF($A108&gt;0,$C108*VLOOKUP($A108,Düngemittel!$A$3:$M$510,3),0)</f>
        <v>155.47999999999999</v>
      </c>
      <c r="E108" s="54">
        <f>IF($A108&gt;0,$C108*VLOOKUP($A108,Düngemittel!$A$3:$M$510,4),0)</f>
        <v>0</v>
      </c>
      <c r="F108" s="54">
        <f>IF($A108&gt;0,$C108*VLOOKUP($A108,Düngemittel!$A$3:$M$510,5),0)</f>
        <v>0</v>
      </c>
      <c r="G108" s="54">
        <f>IF($A108&gt;0,$C108*VLOOKUP($A108,Düngemittel!$A$3:$M$510,6),0)</f>
        <v>0</v>
      </c>
      <c r="H108" s="54">
        <f>IF($A108&gt;0,$C108*VLOOKUP($A108,Düngemittel!$A$3:$M$510,8),0)</f>
        <v>-155.47999999999999</v>
      </c>
      <c r="I108" s="55">
        <f>IF($A108&gt;0,$C108*VLOOKUP($A108,Düngemittel!$A$3:$M$510,7),0)</f>
        <v>0</v>
      </c>
      <c r="J108" s="237">
        <f>IF($A108&gt;0,VLOOKUP($A108,Düngemittel!$A$3:$S$510,10)*$C108,0)</f>
        <v>109.85</v>
      </c>
      <c r="R108" s="62"/>
    </row>
    <row r="109" spans="1:19" ht="11.25" customHeight="1" x14ac:dyDescent="0.4">
      <c r="A109" s="83">
        <v>9</v>
      </c>
      <c r="B109" s="52" t="str">
        <f>IF($A109&gt;0,VLOOKUP($A109,Düngemittel!$A$3:$I$1362,2),"")</f>
        <v>Schwefelsaures Amoniak 21% N + 24% S,</v>
      </c>
      <c r="C109" s="53">
        <v>0.9</v>
      </c>
      <c r="D109" s="54">
        <f>IF($A109&gt;0,$C109*VLOOKUP($A109,Düngemittel!$A$3:$M$510,3),0)</f>
        <v>18.900000000000002</v>
      </c>
      <c r="E109" s="54">
        <f>IF($A109&gt;0,$C109*VLOOKUP($A109,Düngemittel!$A$3:$M$510,4),0)</f>
        <v>0</v>
      </c>
      <c r="F109" s="54">
        <f>IF($A109&gt;0,$C109*VLOOKUP($A109,Düngemittel!$A$3:$M$510,5),0)</f>
        <v>0</v>
      </c>
      <c r="G109" s="54">
        <f>IF($A109&gt;0,$C109*VLOOKUP($A109,Düngemittel!$A$3:$M$510,6),0)</f>
        <v>0</v>
      </c>
      <c r="H109" s="54">
        <f>IF($A109&gt;0,$C109*VLOOKUP($A109,Düngemittel!$A$3:$M$510,8),0)</f>
        <v>-56.7</v>
      </c>
      <c r="I109" s="55">
        <f>IF($A109&gt;0,$C109*VLOOKUP($A109,Düngemittel!$A$3:$M$510,7),0)</f>
        <v>21.6</v>
      </c>
      <c r="J109" s="237">
        <f>IF($A109&gt;0,VLOOKUP($A109,Düngemittel!$A$3:$S$510,10)*$C109,0)</f>
        <v>24.291</v>
      </c>
      <c r="R109" s="62"/>
    </row>
    <row r="110" spans="1:19" ht="11.25" customHeight="1" x14ac:dyDescent="0.4">
      <c r="A110" s="83">
        <v>45</v>
      </c>
      <c r="B110" s="52" t="str">
        <f>IF($A110&gt;0,VLOOKUP($A110,Düngemittel!$A$3:$I$1362,2),"")</f>
        <v>Triple-Phosphat, 46 % P2O5</v>
      </c>
      <c r="C110" s="53">
        <v>1.1499999999999999</v>
      </c>
      <c r="D110" s="54">
        <f>IF($A110&gt;0,$C110*VLOOKUP($A110,Düngemittel!$A$3:$M$510,3),0)</f>
        <v>0</v>
      </c>
      <c r="E110" s="54">
        <f>IF($A110&gt;0,$C110*VLOOKUP($A110,Düngemittel!$A$3:$M$510,4),0)</f>
        <v>51.749999999999993</v>
      </c>
      <c r="F110" s="54">
        <f>IF($A110&gt;0,$C110*VLOOKUP($A110,Düngemittel!$A$3:$M$510,5),0)</f>
        <v>0</v>
      </c>
      <c r="G110" s="54">
        <f>IF($A110&gt;0,$C110*VLOOKUP($A110,Düngemittel!$A$3:$M$510,6),0)</f>
        <v>0</v>
      </c>
      <c r="H110" s="54">
        <f>IF($A110&gt;0,$C110*VLOOKUP($A110,Düngemittel!$A$3:$M$510,8),0)</f>
        <v>-3.4499999999999997</v>
      </c>
      <c r="I110" s="55">
        <f>IF($A110&gt;0,$C110*VLOOKUP($A110,Düngemittel!$A$3:$M$510,7),0)</f>
        <v>0</v>
      </c>
      <c r="J110" s="237">
        <f>IF($A110&gt;0,VLOOKUP($A110,Düngemittel!$A$3:$S$510,10)*$C110,0)</f>
        <v>44.39</v>
      </c>
      <c r="K110" s="100"/>
      <c r="L110" s="62"/>
      <c r="M110" s="62"/>
      <c r="S110" s="99"/>
    </row>
    <row r="111" spans="1:19" ht="11.25" customHeight="1" x14ac:dyDescent="0.4">
      <c r="A111" s="83">
        <v>50</v>
      </c>
      <c r="B111" s="52" t="str">
        <f>IF($A111&gt;0,VLOOKUP($A111,Düngemittel!$A$3:$I$1362,2),"")</f>
        <v>60er Kali</v>
      </c>
      <c r="C111" s="53">
        <v>1.05</v>
      </c>
      <c r="D111" s="54">
        <f>IF($A111&gt;0,$C111*VLOOKUP($A111,Düngemittel!$A$3:$M$510,3),0)</f>
        <v>0</v>
      </c>
      <c r="E111" s="54">
        <f>IF($A111&gt;0,$C111*VLOOKUP($A111,Düngemittel!$A$3:$M$510,4),0)</f>
        <v>0</v>
      </c>
      <c r="F111" s="54">
        <f>IF($A111&gt;0,$C111*VLOOKUP($A111,Düngemittel!$A$3:$M$510,5),0)</f>
        <v>63</v>
      </c>
      <c r="G111" s="54">
        <f>IF($A111&gt;0,$C111*VLOOKUP($A111,Düngemittel!$A$3:$M$510,6),0)</f>
        <v>0</v>
      </c>
      <c r="H111" s="54">
        <f>IF($A111&gt;0,$C111*VLOOKUP($A111,Düngemittel!$A$3:$M$510,8),0)</f>
        <v>0</v>
      </c>
      <c r="I111" s="55">
        <f>IF($A111&gt;0,$C111*VLOOKUP($A111,Düngemittel!$A$3:$M$510,7),0)</f>
        <v>0</v>
      </c>
      <c r="J111" s="237">
        <f>IF($A111&gt;0,VLOOKUP($A111,Düngemittel!$A$3:$S$510,10)*$C111,0)</f>
        <v>30.366000000000003</v>
      </c>
      <c r="K111" s="100"/>
      <c r="L111" s="62"/>
      <c r="M111" s="62"/>
      <c r="S111" s="99"/>
    </row>
    <row r="112" spans="1:19" ht="11.25" customHeight="1" x14ac:dyDescent="0.4">
      <c r="A112" s="83"/>
      <c r="B112" s="52" t="str">
        <f>IF($A112&gt;0,VLOOKUP($A112,Düngemittel!$A$3:$I$1362,2),"")</f>
        <v/>
      </c>
      <c r="C112" s="53"/>
      <c r="D112" s="54">
        <f>IF($A112&gt;0,$C112*VLOOKUP($A112,Düngemittel!$A$3:$M$510,3),0)</f>
        <v>0</v>
      </c>
      <c r="E112" s="54">
        <f>IF($A112&gt;0,$C112*VLOOKUP($A112,Düngemittel!$A$3:$M$510,4),0)</f>
        <v>0</v>
      </c>
      <c r="F112" s="54">
        <f>IF($A112&gt;0,$C112*VLOOKUP($A112,Düngemittel!$A$3:$M$510,5),0)</f>
        <v>0</v>
      </c>
      <c r="G112" s="54">
        <f>IF($A112&gt;0,$C112*VLOOKUP($A112,Düngemittel!$A$3:$M$510,6),0)</f>
        <v>0</v>
      </c>
      <c r="H112" s="54">
        <f>IF($A112&gt;0,$C112*VLOOKUP($A112,Düngemittel!$A$3:$M$510,8),0)</f>
        <v>0</v>
      </c>
      <c r="I112" s="55">
        <f>IF($A112&gt;0,$C112*VLOOKUP($A112,Düngemittel!$A$3:$M$510,7),0)</f>
        <v>0</v>
      </c>
      <c r="J112" s="237">
        <f>IF($A112&gt;0,VLOOKUP($A112,Düngemittel!$A$3:$S$510,10)*$C112,0)</f>
        <v>0</v>
      </c>
      <c r="K112" s="100"/>
      <c r="L112" s="62"/>
      <c r="M112" s="62"/>
      <c r="S112" s="99"/>
    </row>
    <row r="113" spans="1:19" ht="11.25" customHeight="1" x14ac:dyDescent="0.4">
      <c r="A113" s="83"/>
      <c r="B113" s="52" t="str">
        <f>IF($A113&gt;0,VLOOKUP($A113,Düngemittel!$A$3:$I$1362,2),"")</f>
        <v/>
      </c>
      <c r="C113" s="53"/>
      <c r="D113" s="54">
        <f>IF($A113&gt;0,$C113*VLOOKUP($A113,Düngemittel!$A$3:$M$510,3),0)</f>
        <v>0</v>
      </c>
      <c r="E113" s="54">
        <f>IF($A113&gt;0,$C113*VLOOKUP($A113,Düngemittel!$A$3:$M$510,4),0)</f>
        <v>0</v>
      </c>
      <c r="F113" s="54">
        <f>IF($A113&gt;0,$C113*VLOOKUP($A113,Düngemittel!$A$3:$M$510,5),0)</f>
        <v>0</v>
      </c>
      <c r="G113" s="54">
        <f>IF($A113&gt;0,$C113*VLOOKUP($A113,Düngemittel!$A$3:$M$510,6),0)</f>
        <v>0</v>
      </c>
      <c r="H113" s="54">
        <f>IF($A113&gt;0,$C113*VLOOKUP($A113,Düngemittel!$A$3:$M$510,8),0)</f>
        <v>0</v>
      </c>
      <c r="I113" s="55">
        <f>IF($A113&gt;0,$C113*VLOOKUP($A113,Düngemittel!$A$3:$M$510,7),0)</f>
        <v>0</v>
      </c>
      <c r="J113" s="237">
        <f>IF($A113&gt;0,VLOOKUP($A113,Düngemittel!$A$3:$S$510,10)*$C113,0)</f>
        <v>0</v>
      </c>
      <c r="K113" s="100"/>
      <c r="L113" s="62"/>
      <c r="M113" s="62"/>
      <c r="S113" s="99"/>
    </row>
    <row r="114" spans="1:19" ht="11.25" customHeight="1" x14ac:dyDescent="0.4">
      <c r="A114" s="83">
        <v>83</v>
      </c>
      <c r="B114" s="52" t="str">
        <f>IF($A114&gt;0,VLOOKUP($A114,Düngemittel!$A$3:$I$1362,2),"")</f>
        <v>Kohlensauer Kalk, 80 % CaCO3 + 5 MgCO3</v>
      </c>
      <c r="C114" s="53">
        <v>7.13</v>
      </c>
      <c r="D114" s="54">
        <f>IF($A114&gt;0,$C114*VLOOKUP($A114,Düngemittel!$A$3:$M$510,3),0)</f>
        <v>0</v>
      </c>
      <c r="E114" s="54">
        <f>IF($A114&gt;0,$C114*VLOOKUP($A114,Düngemittel!$A$3:$M$510,4),0)</f>
        <v>0</v>
      </c>
      <c r="F114" s="54">
        <f>IF($A114&gt;0,$C114*VLOOKUP($A114,Düngemittel!$A$3:$M$510,5),0)</f>
        <v>0</v>
      </c>
      <c r="G114" s="54">
        <f>IF($A114&gt;0,$C114*VLOOKUP($A114,Düngemittel!$A$3:$M$510,6),0)</f>
        <v>14.26</v>
      </c>
      <c r="H114" s="54">
        <f>IF($A114&gt;0,$C114*VLOOKUP($A114,Düngemittel!$A$3:$M$510,8),0)</f>
        <v>342.24</v>
      </c>
      <c r="I114" s="55">
        <f>IF($A114&gt;0,$C114*VLOOKUP($A114,Düngemittel!$A$3:$M$510,7),0)</f>
        <v>0</v>
      </c>
      <c r="J114" s="237">
        <f>IF($A114&gt;0,VLOOKUP($A114,Düngemittel!$A$3:$S$510,10)*$C114,0)</f>
        <v>20.3918</v>
      </c>
      <c r="K114" s="100"/>
      <c r="L114" s="62"/>
      <c r="M114" s="62"/>
      <c r="S114" s="99"/>
    </row>
    <row r="115" spans="1:19" s="16" customFormat="1" ht="11.25" customHeight="1" x14ac:dyDescent="0.4">
      <c r="A115" s="27">
        <v>84</v>
      </c>
      <c r="B115" s="90" t="str">
        <f>IF($A115&gt;0,VLOOKUP($A115,Düngemittel!$A$3:$I$1362,2),"")</f>
        <v>Kohlensaurer Kalk 70+15</v>
      </c>
      <c r="C115" s="214">
        <v>1.75</v>
      </c>
      <c r="D115" s="54">
        <f>IF($A115&gt;0,$C115*VLOOKUP($A115,Düngemittel!$A$3:$M$510,3),0)</f>
        <v>0</v>
      </c>
      <c r="E115" s="54">
        <f>IF($A115&gt;0,$C115*VLOOKUP($A115,Düngemittel!$A$3:$M$510,4),0)</f>
        <v>0</v>
      </c>
      <c r="F115" s="54">
        <f>IF($A115&gt;0,$C115*VLOOKUP($A115,Düngemittel!$A$3:$M$510,5),0)</f>
        <v>0</v>
      </c>
      <c r="G115" s="54">
        <f>IF($A115&gt;0,$C115*VLOOKUP($A115,Düngemittel!$A$3:$M$510,6),0)</f>
        <v>12.25</v>
      </c>
      <c r="H115" s="54">
        <f>IF($A115&gt;0,$C115*VLOOKUP($A115,Düngemittel!$A$3:$M$510,8),0)</f>
        <v>85.75</v>
      </c>
      <c r="I115" s="55">
        <f>IF($A115&gt;0,$C115*VLOOKUP($A115,Düngemittel!$A$3:$M$510,7),0)</f>
        <v>0</v>
      </c>
      <c r="J115" s="308">
        <f>IF($A115&gt;0,VLOOKUP($A115,Düngemittel!$A$3:$S$510,10)*$C115,0)</f>
        <v>8.5050000000000008</v>
      </c>
      <c r="K115" s="390"/>
      <c r="L115" s="390"/>
      <c r="M115" s="390"/>
      <c r="N115" s="390"/>
      <c r="O115" s="390"/>
      <c r="P115" s="390"/>
      <c r="Q115" s="390"/>
      <c r="R115" s="390"/>
      <c r="S115" s="390"/>
    </row>
    <row r="116" spans="1:19" s="16" customFormat="1" ht="11.25" customHeight="1" x14ac:dyDescent="0.4">
      <c r="A116" s="192"/>
      <c r="B116" s="52" t="s">
        <v>246</v>
      </c>
      <c r="C116" s="264">
        <f>SUM(C108:C115)</f>
        <v>15.36</v>
      </c>
      <c r="D116" s="57"/>
      <c r="E116" s="57"/>
      <c r="F116" s="57"/>
      <c r="G116" s="57"/>
      <c r="H116" s="57"/>
      <c r="I116" s="58"/>
      <c r="J116" s="60">
        <f>SUM(J108:J115)</f>
        <v>237.7938</v>
      </c>
      <c r="K116" s="390"/>
      <c r="L116" s="390"/>
      <c r="M116" s="390"/>
      <c r="N116" s="390"/>
      <c r="O116" s="390"/>
      <c r="P116" s="390"/>
      <c r="Q116" s="390"/>
      <c r="R116" s="390"/>
      <c r="S116" s="390"/>
    </row>
    <row r="117" spans="1:19" ht="11.25" customHeight="1" x14ac:dyDescent="0.4">
      <c r="A117" s="224" t="s">
        <v>247</v>
      </c>
      <c r="B117" s="43"/>
      <c r="C117" s="129"/>
      <c r="D117" s="59">
        <f t="shared" ref="D117:I117" si="5">SUM(D108:D115)-E$24</f>
        <v>8.2519999999988158E-2</v>
      </c>
      <c r="E117" s="59">
        <f t="shared" si="5"/>
        <v>-6.1821812999994563E-2</v>
      </c>
      <c r="F117" s="59">
        <f t="shared" si="5"/>
        <v>-9.5687368000000106E-2</v>
      </c>
      <c r="G117" s="59">
        <f t="shared" si="5"/>
        <v>-2.7636788000002355E-2</v>
      </c>
      <c r="H117" s="59">
        <f t="shared" si="5"/>
        <v>-0.19577847999997289</v>
      </c>
      <c r="I117" s="59">
        <f t="shared" si="5"/>
        <v>0.41506420000000332</v>
      </c>
      <c r="J117" s="60"/>
      <c r="K117" s="62"/>
      <c r="L117" s="62"/>
      <c r="M117" s="62"/>
      <c r="R117" s="63"/>
    </row>
    <row r="118" spans="1:19" s="68" customFormat="1" ht="11.25" customHeight="1" x14ac:dyDescent="0.4">
      <c r="A118" s="64" t="s">
        <v>15</v>
      </c>
      <c r="B118" s="64" t="s">
        <v>248</v>
      </c>
      <c r="C118" s="105"/>
      <c r="D118" s="106"/>
      <c r="E118" s="67"/>
      <c r="F118" s="20" t="s">
        <v>250</v>
      </c>
      <c r="G118" s="19" t="s">
        <v>250</v>
      </c>
      <c r="H118" s="19" t="s">
        <v>251</v>
      </c>
      <c r="I118" s="19" t="s">
        <v>252</v>
      </c>
      <c r="J118" s="19"/>
      <c r="K118" s="100"/>
      <c r="L118" s="63"/>
      <c r="M118" s="69"/>
      <c r="R118" s="70"/>
    </row>
    <row r="119" spans="1:19" s="68" customFormat="1" ht="11.25" customHeight="1" x14ac:dyDescent="0.4">
      <c r="A119" s="71"/>
      <c r="B119" s="500"/>
      <c r="C119" s="108"/>
      <c r="D119" s="109"/>
      <c r="E119" s="74" t="s">
        <v>249</v>
      </c>
      <c r="F119" s="75" t="s">
        <v>249</v>
      </c>
      <c r="G119" s="23" t="s">
        <v>232</v>
      </c>
      <c r="H119" s="76" t="s">
        <v>254</v>
      </c>
      <c r="I119" s="23" t="s">
        <v>255</v>
      </c>
      <c r="J119" s="23"/>
      <c r="K119" s="100"/>
      <c r="L119" s="102"/>
      <c r="M119" s="69"/>
      <c r="R119" s="70"/>
    </row>
    <row r="120" spans="1:19" ht="11.25" customHeight="1" x14ac:dyDescent="0.4">
      <c r="A120" s="77">
        <v>107</v>
      </c>
      <c r="B120" s="78" t="str">
        <f>IF($A120&gt;0,VLOOKUP($A120,'Kosten Technik'!$A$2:$E$74,2),"")</f>
        <v>Düngung mit Kreiselstreuer, 24 m</v>
      </c>
      <c r="C120" s="78"/>
      <c r="D120" s="111"/>
      <c r="E120" s="51" t="str">
        <f>IF($A120&gt;0,VLOOKUP($A120,'Kosten Technik'!$A$2:$E$74,4),"")</f>
        <v>ha</v>
      </c>
      <c r="F120" s="79">
        <f>IF($A120&gt;0,VLOOKUP($A120,'Kosten Technik'!$A$2:$E$74,5),"")</f>
        <v>13.2</v>
      </c>
      <c r="G120" s="269">
        <f>+F120</f>
        <v>13.2</v>
      </c>
      <c r="H120" s="80">
        <v>3</v>
      </c>
      <c r="I120" s="81">
        <v>1</v>
      </c>
      <c r="J120" s="82">
        <f>+I120*H120*G120</f>
        <v>39.599999999999994</v>
      </c>
      <c r="M120" s="62"/>
      <c r="R120" s="63"/>
    </row>
    <row r="121" spans="1:19" ht="11.25" customHeight="1" x14ac:dyDescent="0.4">
      <c r="A121" s="83"/>
      <c r="B121" s="84" t="str">
        <f>IF($A121&gt;0,VLOOKUP($A121,'Kosten Technik'!$A$2:$E$74,2),"")</f>
        <v/>
      </c>
      <c r="C121" s="84"/>
      <c r="D121" s="113"/>
      <c r="E121" s="52" t="str">
        <f>IF($A121&gt;0,VLOOKUP($A121,'Kosten Technik'!$A$2:$E$74,4),"")</f>
        <v/>
      </c>
      <c r="F121" s="85" t="str">
        <f>IF($A121&gt;0,VLOOKUP($A121,'Kosten Technik'!$A$2:$E$74,5),"")</f>
        <v/>
      </c>
      <c r="G121" s="270"/>
      <c r="H121" s="86"/>
      <c r="I121" s="87"/>
      <c r="J121" s="82"/>
      <c r="M121" s="62"/>
      <c r="R121" s="63"/>
    </row>
    <row r="122" spans="1:19" ht="11.25" customHeight="1" x14ac:dyDescent="0.4">
      <c r="A122" s="83">
        <v>105</v>
      </c>
      <c r="B122" s="84" t="str">
        <f>IF($A122&gt;0,VLOOKUP($A122,'Kosten Technik'!$A$2:$E$74,2),"")</f>
        <v xml:space="preserve">Düngung mit Großbehälterstreuer </v>
      </c>
      <c r="C122" s="84"/>
      <c r="D122" s="113"/>
      <c r="E122" s="52" t="str">
        <f>IF($A122&gt;0,VLOOKUP($A122,'Kosten Technik'!$A$2:$E$74,4),"")</f>
        <v>dt</v>
      </c>
      <c r="F122" s="85">
        <f>IF($A122&gt;0,VLOOKUP($A122,'Kosten Technik'!$A$2:$E$74,5),"")</f>
        <v>3</v>
      </c>
      <c r="G122" s="270">
        <f>+F122</f>
        <v>3</v>
      </c>
      <c r="H122" s="86">
        <v>2.2000000000000002</v>
      </c>
      <c r="I122" s="87">
        <v>1</v>
      </c>
      <c r="J122" s="82">
        <f>+I122*H122*G122</f>
        <v>6.6000000000000005</v>
      </c>
      <c r="M122" s="62"/>
      <c r="R122" s="63"/>
    </row>
    <row r="123" spans="1:19" ht="11.25" hidden="1" customHeight="1" x14ac:dyDescent="0.4">
      <c r="A123" s="83"/>
      <c r="B123" s="84" t="str">
        <f>IF($A123&gt;0,VLOOKUP($A123,'Kosten Technik'!$A$2:$E$74,2),"")</f>
        <v/>
      </c>
      <c r="C123" s="84"/>
      <c r="D123" s="113"/>
      <c r="E123" s="52" t="str">
        <f>IF($A123&gt;0,VLOOKUP($A123,'Kosten Technik'!$A$2:$E$74,4),"")</f>
        <v/>
      </c>
      <c r="F123" s="85" t="str">
        <f>IF($A123&gt;0,VLOOKUP($A123,'Kosten Technik'!$A$2:$E$74,5),"")</f>
        <v/>
      </c>
      <c r="G123" s="270"/>
      <c r="H123" s="86"/>
      <c r="I123" s="87"/>
      <c r="J123" s="82"/>
      <c r="M123" s="62"/>
      <c r="R123" s="63"/>
    </row>
    <row r="124" spans="1:19" ht="11.25" hidden="1" customHeight="1" x14ac:dyDescent="0.4">
      <c r="A124" s="83"/>
      <c r="B124" s="84"/>
      <c r="C124" s="84"/>
      <c r="D124" s="84"/>
      <c r="E124" s="52"/>
      <c r="F124" s="85"/>
      <c r="G124" s="196"/>
      <c r="H124" s="86"/>
      <c r="I124" s="132"/>
      <c r="J124" s="82"/>
      <c r="M124" s="62"/>
      <c r="R124" s="63"/>
    </row>
    <row r="125" spans="1:19" ht="11.25" customHeight="1" x14ac:dyDescent="0.4">
      <c r="A125" s="83">
        <v>109</v>
      </c>
      <c r="B125" s="89" t="str">
        <f>IF($A125&gt;0,VLOOKUP($A125,'Kosten Technik'!$A$2:$E$74,2),"")</f>
        <v>Düngung kohls.Kalk im Lohnverfahren</v>
      </c>
      <c r="C125" s="89"/>
      <c r="D125" s="89"/>
      <c r="E125" s="52" t="str">
        <f>IF($A125&gt;0,VLOOKUP($A125,'Kosten Technik'!$A$2:$E$74,4),"")</f>
        <v>dt</v>
      </c>
      <c r="F125" s="85">
        <f>IF($A125&gt;0,VLOOKUP($A125,'Kosten Technik'!$A$2:$E$74,5),"")</f>
        <v>1</v>
      </c>
      <c r="G125" s="196">
        <f>+F125*C113+F125*C114+F125*C115</f>
        <v>8.879999999999999</v>
      </c>
      <c r="H125" s="86">
        <v>1</v>
      </c>
      <c r="I125" s="132">
        <v>1</v>
      </c>
      <c r="J125" s="93">
        <f>+I125*H125*G125</f>
        <v>8.879999999999999</v>
      </c>
      <c r="M125" s="62"/>
      <c r="R125" s="63"/>
    </row>
    <row r="126" spans="1:19" ht="11.25" customHeight="1" x14ac:dyDescent="0.4">
      <c r="A126" s="88"/>
      <c r="B126" s="89" t="s">
        <v>261</v>
      </c>
      <c r="C126" s="89"/>
      <c r="D126" s="89"/>
      <c r="E126" s="90"/>
      <c r="F126" s="91"/>
      <c r="G126" s="92"/>
      <c r="H126" s="266"/>
      <c r="I126" s="267"/>
      <c r="J126" s="93">
        <f>SUM(J119:J125)</f>
        <v>55.08</v>
      </c>
      <c r="M126" s="62"/>
      <c r="R126" s="63"/>
    </row>
    <row r="127" spans="1:19" ht="11.25" customHeight="1" x14ac:dyDescent="0.4">
      <c r="A127" s="64" t="s">
        <v>15</v>
      </c>
      <c r="B127" s="142" t="s">
        <v>263</v>
      </c>
      <c r="C127" s="65"/>
      <c r="D127" s="66"/>
      <c r="E127" s="67" t="s">
        <v>249</v>
      </c>
      <c r="F127" s="19" t="s">
        <v>250</v>
      </c>
      <c r="G127" s="19" t="s">
        <v>250</v>
      </c>
      <c r="H127" s="19" t="s">
        <v>264</v>
      </c>
      <c r="I127" s="19" t="s">
        <v>252</v>
      </c>
      <c r="J127" s="56"/>
      <c r="M127" s="62"/>
      <c r="R127" s="63"/>
    </row>
    <row r="128" spans="1:19" ht="11.25" customHeight="1" x14ac:dyDescent="0.4">
      <c r="A128" s="71"/>
      <c r="B128" s="71"/>
      <c r="C128" s="72"/>
      <c r="D128" s="73"/>
      <c r="E128" s="74"/>
      <c r="F128" s="146" t="s">
        <v>249</v>
      </c>
      <c r="G128" s="23" t="s">
        <v>232</v>
      </c>
      <c r="H128" s="23"/>
      <c r="I128" s="23" t="s">
        <v>255</v>
      </c>
      <c r="J128" s="23"/>
      <c r="M128" s="62"/>
      <c r="R128" s="63"/>
    </row>
    <row r="129" spans="1:21" ht="11.25" customHeight="1" x14ac:dyDescent="0.4">
      <c r="A129" s="118"/>
      <c r="B129" s="143" t="str">
        <f>IF($A129&gt;0,VLOOKUP($A129,'Kosten Technik'!$A$2:$E$74,2),"")</f>
        <v/>
      </c>
      <c r="C129" s="65"/>
      <c r="D129" s="66"/>
      <c r="E129" s="52" t="str">
        <f>IF($A129&gt;0,VLOOKUP($A129,'Kosten Technik'!$A$2:$E$74,4),"")</f>
        <v/>
      </c>
      <c r="F129" s="85" t="str">
        <f>IF($A129&gt;0,VLOOKUP($A129,'Kosten Technik'!$A$2:$E$74,5),"")</f>
        <v/>
      </c>
      <c r="G129" s="271"/>
      <c r="H129" s="226"/>
      <c r="I129" s="87"/>
      <c r="J129" s="112"/>
      <c r="M129" s="62"/>
      <c r="R129" s="63"/>
    </row>
    <row r="130" spans="1:21" ht="11.25" customHeight="1" x14ac:dyDescent="0.4">
      <c r="A130" s="83">
        <v>123</v>
      </c>
      <c r="B130" s="94" t="str">
        <f>IF($A130&gt;0,VLOOKUP($A130,'Kosten Technik'!$A$2:$E$74,2),"")</f>
        <v>Mineraldüngerlager, hofeigen</v>
      </c>
      <c r="C130" s="89"/>
      <c r="D130" s="144"/>
      <c r="E130" s="52" t="str">
        <f>IF($A130&gt;0,VLOOKUP($A130,'Kosten Technik'!$A$2:$E$74,4),"")</f>
        <v>dt</v>
      </c>
      <c r="F130" s="85">
        <f>IF($A130&gt;0,VLOOKUP($A130,'Kosten Technik'!$A$2:$E$74,5),"")</f>
        <v>1</v>
      </c>
      <c r="G130" s="271"/>
      <c r="H130" s="226">
        <f>C116-C113-C114-C115</f>
        <v>6.48</v>
      </c>
      <c r="I130" s="87">
        <v>1</v>
      </c>
      <c r="J130" s="93">
        <f>+I130*F130*H130</f>
        <v>6.48</v>
      </c>
      <c r="M130" s="62"/>
      <c r="R130" s="63"/>
    </row>
    <row r="131" spans="1:21" ht="11.25" customHeight="1" x14ac:dyDescent="0.4">
      <c r="A131" s="265"/>
      <c r="B131" s="89" t="s">
        <v>265</v>
      </c>
      <c r="C131" s="89"/>
      <c r="D131" s="89"/>
      <c r="E131" s="52"/>
      <c r="F131" s="85"/>
      <c r="G131" s="145"/>
      <c r="H131" s="268"/>
      <c r="I131" s="267"/>
      <c r="J131" s="93">
        <f>SUM(J129:J130)</f>
        <v>6.48</v>
      </c>
      <c r="M131" s="62"/>
      <c r="R131" s="63"/>
    </row>
    <row r="132" spans="1:21" ht="11.25" customHeight="1" x14ac:dyDescent="0.4">
      <c r="A132" s="64" t="s">
        <v>15</v>
      </c>
      <c r="B132" s="496" t="s">
        <v>266</v>
      </c>
      <c r="C132" s="65"/>
      <c r="D132" s="66"/>
      <c r="E132" s="67" t="s">
        <v>249</v>
      </c>
      <c r="F132" s="19" t="s">
        <v>250</v>
      </c>
      <c r="G132" s="19" t="s">
        <v>250</v>
      </c>
      <c r="H132" s="19" t="s">
        <v>264</v>
      </c>
      <c r="I132" s="19" t="s">
        <v>252</v>
      </c>
      <c r="J132" s="56"/>
      <c r="K132" s="100"/>
      <c r="L132" s="63"/>
      <c r="M132" s="63"/>
      <c r="R132" s="47"/>
      <c r="S132" s="99"/>
    </row>
    <row r="133" spans="1:21" ht="11.25" customHeight="1" x14ac:dyDescent="0.4">
      <c r="A133" s="71"/>
      <c r="B133" s="71"/>
      <c r="C133" s="72"/>
      <c r="D133" s="73"/>
      <c r="E133" s="74"/>
      <c r="F133" s="146" t="s">
        <v>249</v>
      </c>
      <c r="G133" s="23" t="s">
        <v>232</v>
      </c>
      <c r="H133" s="23"/>
      <c r="I133" s="23" t="s">
        <v>255</v>
      </c>
      <c r="J133" s="23"/>
      <c r="K133" s="100"/>
      <c r="L133" s="63"/>
      <c r="M133" s="63"/>
      <c r="R133" s="47"/>
      <c r="S133" s="99"/>
    </row>
    <row r="134" spans="1:21" ht="11.25" customHeight="1" x14ac:dyDescent="0.4">
      <c r="A134" s="77">
        <v>141</v>
      </c>
      <c r="B134" s="143" t="str">
        <f>IF($A134&gt;0,VLOOKUP($A134,'Kosten Technik'!$A$2:$E$74,2),"")</f>
        <v>LKW-Lieferung unter 100 km</v>
      </c>
      <c r="C134" s="78"/>
      <c r="D134" s="111"/>
      <c r="E134" s="51" t="str">
        <f>IF($A134&gt;0,VLOOKUP($A134,'Kosten Technik'!$A$2:$E$74,4),"")</f>
        <v>dt</v>
      </c>
      <c r="F134" s="79">
        <f>IF($A134&gt;0,VLOOKUP($A134,'Kosten Technik'!$A$2:$E$74,5),0)</f>
        <v>0.9</v>
      </c>
      <c r="G134" s="196"/>
      <c r="H134" s="225">
        <f>SUM(C108:C112)</f>
        <v>6.4799999999999995</v>
      </c>
      <c r="I134" s="81">
        <v>1</v>
      </c>
      <c r="J134" s="112">
        <f>+I134*F134*H134</f>
        <v>5.8319999999999999</v>
      </c>
      <c r="K134" s="100"/>
      <c r="L134" s="63"/>
      <c r="M134" s="63"/>
      <c r="R134" s="47"/>
      <c r="S134" s="99"/>
    </row>
    <row r="135" spans="1:21" ht="11.25" customHeight="1" x14ac:dyDescent="0.4">
      <c r="A135" s="83">
        <v>141</v>
      </c>
      <c r="B135" s="94" t="str">
        <f>IF($A135&gt;0,VLOOKUP($A135,'Kosten Technik'!$A$2:$E$74,2),"")</f>
        <v>LKW-Lieferung unter 100 km</v>
      </c>
      <c r="C135" s="89"/>
      <c r="D135" s="144"/>
      <c r="E135" s="52" t="str">
        <f>IF($A135&gt;0,VLOOKUP($A135,'Kosten Technik'!$A$2:$E$74,4),"")</f>
        <v>dt</v>
      </c>
      <c r="F135" s="85">
        <f>IF($A135&gt;0,VLOOKUP($A135,'Kosten Technik'!$A$2:$E$74,5),0)</f>
        <v>0.9</v>
      </c>
      <c r="G135" s="196"/>
      <c r="H135" s="226">
        <f>SUM(C113:C115)</f>
        <v>8.879999999999999</v>
      </c>
      <c r="I135" s="87">
        <v>1</v>
      </c>
      <c r="J135" s="93">
        <f>+I135*F135*H135</f>
        <v>7.9919999999999991</v>
      </c>
      <c r="K135" s="100"/>
      <c r="L135" s="63"/>
      <c r="M135" s="63"/>
      <c r="R135" s="47"/>
      <c r="S135" s="99"/>
    </row>
    <row r="136" spans="1:21" ht="11.25" customHeight="1" x14ac:dyDescent="0.4">
      <c r="A136" s="265"/>
      <c r="B136" s="260" t="s">
        <v>267</v>
      </c>
      <c r="C136" s="89"/>
      <c r="D136" s="89"/>
      <c r="E136" s="52"/>
      <c r="F136" s="85"/>
      <c r="G136" s="145"/>
      <c r="H136" s="268"/>
      <c r="I136" s="267"/>
      <c r="J136" s="93">
        <f>SUM(J134:J135)</f>
        <v>13.823999999999998</v>
      </c>
      <c r="K136" s="100"/>
      <c r="L136" s="63"/>
      <c r="M136" s="63"/>
      <c r="R136" s="47"/>
      <c r="S136" s="99"/>
    </row>
    <row r="137" spans="1:21" ht="11.25" customHeight="1" x14ac:dyDescent="0.4">
      <c r="A137" s="143"/>
      <c r="B137" s="331" t="s">
        <v>268</v>
      </c>
      <c r="C137" s="332"/>
      <c r="D137" s="332"/>
      <c r="E137" s="333"/>
      <c r="F137" s="333"/>
      <c r="G137" s="332"/>
      <c r="H137" s="332"/>
      <c r="I137" s="334"/>
      <c r="J137" s="335">
        <f>J116+J126+J131+J136</f>
        <v>313.17780000000005</v>
      </c>
      <c r="K137" s="100"/>
      <c r="L137" s="63"/>
      <c r="M137" s="63"/>
      <c r="R137" s="47"/>
      <c r="S137" s="99"/>
    </row>
    <row r="138" spans="1:21" s="135" customFormat="1" ht="11.25" customHeight="1" x14ac:dyDescent="0.4">
      <c r="A138" s="337"/>
      <c r="B138" s="338"/>
      <c r="C138" s="339"/>
      <c r="D138" s="339"/>
      <c r="E138" s="340"/>
      <c r="F138" s="340"/>
      <c r="G138" s="339"/>
      <c r="H138" s="339"/>
      <c r="I138" s="341"/>
      <c r="J138" s="342"/>
      <c r="K138" s="204"/>
      <c r="L138" s="329"/>
      <c r="M138" s="329"/>
      <c r="R138" s="241"/>
      <c r="S138" s="330"/>
    </row>
    <row r="139" spans="1:21" s="135" customFormat="1" ht="11.25" customHeight="1" x14ac:dyDescent="0.4">
      <c r="B139" s="136"/>
      <c r="C139" s="137"/>
      <c r="D139" s="137"/>
      <c r="E139" s="138"/>
      <c r="F139" s="138"/>
      <c r="G139" s="137"/>
      <c r="H139" s="137"/>
      <c r="I139" s="139"/>
      <c r="J139" s="140"/>
      <c r="K139" s="204"/>
      <c r="L139" s="329"/>
      <c r="M139" s="329"/>
      <c r="R139" s="241"/>
      <c r="S139" s="330"/>
    </row>
    <row r="140" spans="1:21" s="135" customFormat="1" ht="11.25" customHeight="1" x14ac:dyDescent="0.4">
      <c r="B140" s="136"/>
      <c r="C140" s="137"/>
      <c r="D140" s="137"/>
      <c r="E140" s="138"/>
      <c r="F140" s="138"/>
      <c r="G140" s="137"/>
      <c r="H140" s="137"/>
      <c r="I140" s="139"/>
      <c r="J140" s="140"/>
      <c r="K140" s="204"/>
      <c r="L140" s="329"/>
      <c r="M140" s="329"/>
      <c r="R140" s="241"/>
      <c r="S140" s="330"/>
    </row>
    <row r="141" spans="1:21" s="135" customFormat="1" ht="11.25" customHeight="1" x14ac:dyDescent="0.4">
      <c r="A141" s="343"/>
      <c r="B141" s="344"/>
      <c r="C141" s="257"/>
      <c r="D141" s="257"/>
      <c r="E141" s="345"/>
      <c r="F141" s="345"/>
      <c r="G141" s="257"/>
      <c r="H141" s="257"/>
      <c r="I141" s="346"/>
      <c r="J141" s="347"/>
      <c r="K141" s="204"/>
      <c r="L141" s="329"/>
      <c r="M141" s="329"/>
      <c r="R141" s="241"/>
      <c r="S141" s="330"/>
    </row>
    <row r="142" spans="1:21" ht="12.75" customHeight="1" x14ac:dyDescent="0.4">
      <c r="A142" s="504" t="s">
        <v>272</v>
      </c>
      <c r="B142" s="505" t="s">
        <v>273</v>
      </c>
      <c r="C142" s="336"/>
      <c r="D142" s="506"/>
      <c r="E142" s="506"/>
      <c r="F142" s="506"/>
      <c r="G142" s="506"/>
      <c r="H142" s="469"/>
      <c r="I142" s="469"/>
      <c r="J142" s="507"/>
      <c r="L142" s="508"/>
      <c r="M142" s="508"/>
      <c r="N142" s="508"/>
      <c r="O142" s="509"/>
      <c r="P142" s="509"/>
      <c r="Q142" s="509"/>
      <c r="R142" s="509"/>
      <c r="S142" s="510"/>
      <c r="T142" s="205"/>
      <c r="U142" s="206"/>
    </row>
    <row r="143" spans="1:21" ht="11.25" customHeight="1" x14ac:dyDescent="0.35">
      <c r="A143" s="18" t="s">
        <v>15</v>
      </c>
      <c r="B143" s="19" t="s">
        <v>81</v>
      </c>
      <c r="C143" s="19" t="s">
        <v>243</v>
      </c>
      <c r="D143" s="19" t="s">
        <v>22</v>
      </c>
      <c r="E143" s="20" t="s">
        <v>71</v>
      </c>
      <c r="F143" s="19" t="s">
        <v>74</v>
      </c>
      <c r="G143" s="20" t="s">
        <v>23</v>
      </c>
      <c r="H143" s="19" t="s">
        <v>25</v>
      </c>
      <c r="I143" s="19" t="s">
        <v>24</v>
      </c>
      <c r="J143" s="19" t="s">
        <v>244</v>
      </c>
      <c r="L143" s="197"/>
      <c r="M143" s="197"/>
      <c r="N143" s="197"/>
      <c r="O143" s="197"/>
      <c r="P143" s="197"/>
      <c r="Q143" s="197"/>
      <c r="R143" s="197"/>
      <c r="S143" s="197"/>
      <c r="T143" s="197"/>
      <c r="U143" s="197"/>
    </row>
    <row r="144" spans="1:21" ht="11.25" customHeight="1" x14ac:dyDescent="0.35">
      <c r="A144" s="48"/>
      <c r="B144" s="103"/>
      <c r="C144" s="24" t="s">
        <v>233</v>
      </c>
      <c r="D144" s="24" t="s">
        <v>234</v>
      </c>
      <c r="E144" s="49" t="s">
        <v>234</v>
      </c>
      <c r="F144" s="50" t="s">
        <v>234</v>
      </c>
      <c r="G144" s="49" t="s">
        <v>234</v>
      </c>
      <c r="H144" s="50" t="s">
        <v>234</v>
      </c>
      <c r="I144" s="50" t="s">
        <v>234</v>
      </c>
      <c r="J144" s="24" t="s">
        <v>245</v>
      </c>
      <c r="L144" s="238"/>
      <c r="M144" s="238"/>
      <c r="N144" s="199"/>
      <c r="O144" s="199"/>
      <c r="P144" s="198"/>
      <c r="Q144" s="198"/>
      <c r="R144" s="198"/>
      <c r="S144" s="198"/>
      <c r="T144" s="198"/>
      <c r="U144" s="199"/>
    </row>
    <row r="145" spans="1:21" ht="11.25" customHeight="1" x14ac:dyDescent="0.35">
      <c r="A145" s="77">
        <v>4</v>
      </c>
      <c r="B145" s="52" t="str">
        <f>IF($A145&gt;0,VLOOKUP($A145,Düngemittel!$A$3:$I$510,2),"")</f>
        <v>Harnstoff geprillt</v>
      </c>
      <c r="C145" s="231">
        <v>3.38</v>
      </c>
      <c r="D145" s="54">
        <f>IF($A145&gt;0,$C145*VLOOKUP($A145,Düngemittel!$A$3:$M$510,3),0)</f>
        <v>155.47999999999999</v>
      </c>
      <c r="E145" s="54">
        <f>IF($A145&gt;0,$C145*VLOOKUP($A145,Düngemittel!$A$3:$M$510,4),0)</f>
        <v>0</v>
      </c>
      <c r="F145" s="54">
        <f>IF($A145&gt;0,$C145*VLOOKUP($A145,Düngemittel!$A$3:$M$510,5),0)</f>
        <v>0</v>
      </c>
      <c r="G145" s="54">
        <f>IF($A145&gt;0,$C145*VLOOKUP($A145,Düngemittel!$A$3:$M$510,6),0)</f>
        <v>0</v>
      </c>
      <c r="H145" s="54">
        <f>IF($A145&gt;0,$C145*VLOOKUP($A145,Düngemittel!$A$3:$M$510,8),0)</f>
        <v>-155.47999999999999</v>
      </c>
      <c r="I145" s="55">
        <f>IF($A145&gt;0,$C145*VLOOKUP($A145,Düngemittel!$A$3:$M$510,7),0)</f>
        <v>0</v>
      </c>
      <c r="J145" s="237">
        <f>IF($A145&gt;0,VLOOKUP($A145,Düngemittel!$A$3:$S$510,10)*$C145,0)</f>
        <v>107.48399999999999</v>
      </c>
      <c r="L145" s="239"/>
      <c r="M145" s="204"/>
      <c r="N145" s="240"/>
      <c r="O145" s="200"/>
      <c r="P145" s="200"/>
      <c r="Q145" s="200"/>
      <c r="R145" s="200"/>
      <c r="S145" s="200"/>
      <c r="T145" s="200"/>
      <c r="U145" s="202"/>
    </row>
    <row r="146" spans="1:21" ht="11.25" customHeight="1" x14ac:dyDescent="0.35">
      <c r="A146" s="83">
        <v>9</v>
      </c>
      <c r="B146" s="52" t="str">
        <f>IF($A146&gt;0,VLOOKUP($A146,Düngemittel!$A$3:$I$1362,2),"")</f>
        <v>Schwefelsaures Amoniak 21% N + 24% S,</v>
      </c>
      <c r="C146" s="53">
        <v>0.9</v>
      </c>
      <c r="D146" s="54">
        <f>IF($A146&gt;0,$C146*VLOOKUP($A146,Düngemittel!$A$3:$M$510,3),0)</f>
        <v>18.900000000000002</v>
      </c>
      <c r="E146" s="54">
        <f>IF($A146&gt;0,$C146*VLOOKUP($A146,Düngemittel!$A$3:$M$510,4),0)</f>
        <v>0</v>
      </c>
      <c r="F146" s="54">
        <f>IF($A146&gt;0,$C146*VLOOKUP($A146,Düngemittel!$A$3:$M$510,5),0)</f>
        <v>0</v>
      </c>
      <c r="G146" s="54">
        <f>IF($A146&gt;0,$C146*VLOOKUP($A146,Düngemittel!$A$3:$M$510,6),0)</f>
        <v>0</v>
      </c>
      <c r="H146" s="54">
        <f>IF($A146&gt;0,$C146*VLOOKUP($A146,Düngemittel!$A$3:$M$510,8),0)</f>
        <v>-56.7</v>
      </c>
      <c r="I146" s="55">
        <f>IF($A146&gt;0,$C146*VLOOKUP($A146,Düngemittel!$A$3:$M$510,7),0)</f>
        <v>21.6</v>
      </c>
      <c r="J146" s="237">
        <f>IF($A146&gt;0,VLOOKUP($A146,Düngemittel!$A$3:$S$510,10)*$C146,0)</f>
        <v>24.291</v>
      </c>
      <c r="L146" s="239"/>
      <c r="M146" s="204"/>
      <c r="N146" s="240"/>
      <c r="O146" s="200"/>
      <c r="P146" s="200"/>
      <c r="Q146" s="200"/>
      <c r="R146" s="200"/>
      <c r="S146" s="200"/>
      <c r="T146" s="200"/>
      <c r="U146" s="202"/>
    </row>
    <row r="147" spans="1:21" ht="11.25" customHeight="1" x14ac:dyDescent="0.35">
      <c r="A147" s="83">
        <v>45</v>
      </c>
      <c r="B147" s="52" t="str">
        <f>IF($A147&gt;0,VLOOKUP($A147,Düngemittel!$A$3:$I$1362,2),"")</f>
        <v>Triple-Phosphat, 46 % P2O5</v>
      </c>
      <c r="C147" s="53">
        <v>1.1499999999999999</v>
      </c>
      <c r="D147" s="54">
        <f>IF($A147&gt;0,$C147*VLOOKUP($A147,Düngemittel!$A$3:$M$510,3),0)</f>
        <v>0</v>
      </c>
      <c r="E147" s="54">
        <f>IF($A147&gt;0,$C147*VLOOKUP($A147,Düngemittel!$A$3:$M$510,4),0)</f>
        <v>51.749999999999993</v>
      </c>
      <c r="F147" s="54">
        <f>IF($A147&gt;0,$C147*VLOOKUP($A147,Düngemittel!$A$3:$M$510,5),0)</f>
        <v>0</v>
      </c>
      <c r="G147" s="54">
        <f>IF($A147&gt;0,$C147*VLOOKUP($A147,Düngemittel!$A$3:$M$510,6),0)</f>
        <v>0</v>
      </c>
      <c r="H147" s="54">
        <f>IF($A147&gt;0,$C147*VLOOKUP($A147,Düngemittel!$A$3:$M$510,8),0)</f>
        <v>-3.4499999999999997</v>
      </c>
      <c r="I147" s="55">
        <f>IF($A147&gt;0,$C147*VLOOKUP($A147,Düngemittel!$A$3:$M$510,7),0)</f>
        <v>0</v>
      </c>
      <c r="J147" s="237">
        <f>IF($A147&gt;0,VLOOKUP($A147,Düngemittel!$A$3:$S$510,10)*$C147,0)</f>
        <v>44.39</v>
      </c>
      <c r="L147" s="239"/>
      <c r="M147" s="204"/>
      <c r="N147" s="240"/>
      <c r="O147" s="200"/>
      <c r="P147" s="200"/>
      <c r="Q147" s="200"/>
      <c r="R147" s="200"/>
      <c r="S147" s="200"/>
      <c r="T147" s="200"/>
      <c r="U147" s="202"/>
    </row>
    <row r="148" spans="1:21" ht="11.25" customHeight="1" x14ac:dyDescent="0.35">
      <c r="A148" s="83">
        <v>50</v>
      </c>
      <c r="B148" s="52" t="str">
        <f>IF($A148&gt;0,VLOOKUP($A148,Düngemittel!$A$3:$I$1362,2),"")</f>
        <v>60er Kali</v>
      </c>
      <c r="C148" s="53">
        <v>1.05</v>
      </c>
      <c r="D148" s="54">
        <f>IF($A148&gt;0,$C148*VLOOKUP($A148,Düngemittel!$A$3:$M$510,3),0)</f>
        <v>0</v>
      </c>
      <c r="E148" s="54">
        <f>IF($A148&gt;0,$C148*VLOOKUP($A148,Düngemittel!$A$3:$M$510,4),0)</f>
        <v>0</v>
      </c>
      <c r="F148" s="54">
        <f>IF($A148&gt;0,$C148*VLOOKUP($A148,Düngemittel!$A$3:$M$510,5),0)</f>
        <v>63</v>
      </c>
      <c r="G148" s="54">
        <f>IF($A148&gt;0,$C148*VLOOKUP($A148,Düngemittel!$A$3:$M$510,6),0)</f>
        <v>0</v>
      </c>
      <c r="H148" s="54">
        <f>IF($A148&gt;0,$C148*VLOOKUP($A148,Düngemittel!$A$3:$M$510,8),0)</f>
        <v>0</v>
      </c>
      <c r="I148" s="55">
        <f>IF($A148&gt;0,$C148*VLOOKUP($A148,Düngemittel!$A$3:$M$510,7),0)</f>
        <v>0</v>
      </c>
      <c r="J148" s="237">
        <f>IF($A148&gt;0,VLOOKUP($A148,Düngemittel!$A$3:$S$510,10)*$C148,0)</f>
        <v>30.366000000000003</v>
      </c>
      <c r="L148" s="239"/>
      <c r="M148" s="204"/>
      <c r="N148" s="240"/>
      <c r="O148" s="200"/>
      <c r="P148" s="200"/>
      <c r="Q148" s="200"/>
      <c r="R148" s="200"/>
      <c r="S148" s="200"/>
      <c r="T148" s="200"/>
      <c r="U148" s="201"/>
    </row>
    <row r="149" spans="1:21" ht="11.25" customHeight="1" x14ac:dyDescent="0.35">
      <c r="A149" s="83"/>
      <c r="B149" s="52" t="str">
        <f>IF($A149&gt;0,VLOOKUP($A149,Düngemittel!$A$3:$I$1362,2),"")</f>
        <v/>
      </c>
      <c r="C149" s="53"/>
      <c r="D149" s="54">
        <f>IF($A149&gt;0,$C149*VLOOKUP($A149,Düngemittel!$A$3:$M$510,3),0)</f>
        <v>0</v>
      </c>
      <c r="E149" s="54">
        <f>IF($A149&gt;0,$C149*VLOOKUP($A149,Düngemittel!$A$3:$M$510,4),0)</f>
        <v>0</v>
      </c>
      <c r="F149" s="54">
        <f>IF($A149&gt;0,$C149*VLOOKUP($A149,Düngemittel!$A$3:$M$510,5),0)</f>
        <v>0</v>
      </c>
      <c r="G149" s="54">
        <f>IF($A149&gt;0,$C149*VLOOKUP($A149,Düngemittel!$A$3:$M$510,6),0)</f>
        <v>0</v>
      </c>
      <c r="H149" s="54">
        <f>IF($A149&gt;0,$C149*VLOOKUP($A149,Düngemittel!$A$3:$M$510,8),0)</f>
        <v>0</v>
      </c>
      <c r="I149" s="55">
        <f>IF($A149&gt;0,$C149*VLOOKUP($A149,Düngemittel!$A$3:$M$510,7),0)</f>
        <v>0</v>
      </c>
      <c r="J149" s="237">
        <f>IF($A149&gt;0,VLOOKUP($A149,Düngemittel!$A$3:$S$510,10)*$C149,0)</f>
        <v>0</v>
      </c>
      <c r="L149" s="239"/>
      <c r="M149" s="204"/>
      <c r="N149" s="240"/>
      <c r="O149" s="200"/>
      <c r="P149" s="200"/>
      <c r="Q149" s="200"/>
      <c r="R149" s="200"/>
      <c r="S149" s="200"/>
      <c r="T149" s="200"/>
      <c r="U149" s="201"/>
    </row>
    <row r="150" spans="1:21" ht="11.25" customHeight="1" x14ac:dyDescent="0.35">
      <c r="A150" s="83"/>
      <c r="B150" s="52" t="str">
        <f>IF($A150&gt;0,VLOOKUP($A150,Düngemittel!$A$3:$I$1362,2),"")</f>
        <v/>
      </c>
      <c r="C150" s="53"/>
      <c r="D150" s="54">
        <f>IF($A150&gt;0,$C150*VLOOKUP($A150,Düngemittel!$A$3:$M$510,3),0)</f>
        <v>0</v>
      </c>
      <c r="E150" s="54">
        <f>IF($A150&gt;0,$C150*VLOOKUP($A150,Düngemittel!$A$3:$M$510,4),0)</f>
        <v>0</v>
      </c>
      <c r="F150" s="54">
        <f>IF($A150&gt;0,$C150*VLOOKUP($A150,Düngemittel!$A$3:$M$510,5),0)</f>
        <v>0</v>
      </c>
      <c r="G150" s="54">
        <f>IF($A150&gt;0,$C150*VLOOKUP($A150,Düngemittel!$A$3:$M$510,6),0)</f>
        <v>0</v>
      </c>
      <c r="H150" s="54">
        <f>IF($A150&gt;0,$C150*VLOOKUP($A150,Düngemittel!$A$3:$M$510,8),0)</f>
        <v>0</v>
      </c>
      <c r="I150" s="55">
        <f>IF($A150&gt;0,$C150*VLOOKUP($A150,Düngemittel!$A$3:$M$510,7),0)</f>
        <v>0</v>
      </c>
      <c r="J150" s="237">
        <f>IF($A150&gt;0,VLOOKUP($A150,Düngemittel!$A$3:$S$510,10)*$C150,0)</f>
        <v>0</v>
      </c>
      <c r="L150" s="239"/>
      <c r="M150" s="204"/>
      <c r="N150" s="240"/>
      <c r="O150" s="200"/>
      <c r="P150" s="200"/>
      <c r="Q150" s="200"/>
      <c r="R150" s="200"/>
      <c r="S150" s="200"/>
      <c r="T150" s="200"/>
      <c r="U150" s="202"/>
    </row>
    <row r="151" spans="1:21" ht="11.25" customHeight="1" x14ac:dyDescent="0.35">
      <c r="A151" s="83">
        <v>83</v>
      </c>
      <c r="B151" s="52" t="str">
        <f>IF($A151&gt;0,VLOOKUP($A151,Düngemittel!$A$3:$I$1362,2),"")</f>
        <v>Kohlensauer Kalk, 80 % CaCO3 + 5 MgCO3</v>
      </c>
      <c r="C151" s="53">
        <v>7.13</v>
      </c>
      <c r="D151" s="54">
        <f>IF($A151&gt;0,$C151*VLOOKUP($A151,Düngemittel!$A$3:$M$510,3),0)</f>
        <v>0</v>
      </c>
      <c r="E151" s="54">
        <f>IF($A151&gt;0,$C151*VLOOKUP($A151,Düngemittel!$A$3:$M$510,4),0)</f>
        <v>0</v>
      </c>
      <c r="F151" s="54">
        <f>IF($A151&gt;0,$C151*VLOOKUP($A151,Düngemittel!$A$3:$M$510,5),0)</f>
        <v>0</v>
      </c>
      <c r="G151" s="54">
        <f>IF($A151&gt;0,$C151*VLOOKUP($A151,Düngemittel!$A$3:$M$510,6),0)</f>
        <v>14.26</v>
      </c>
      <c r="H151" s="54">
        <f>IF($A151&gt;0,$C151*VLOOKUP($A151,Düngemittel!$A$3:$M$510,8),0)</f>
        <v>342.24</v>
      </c>
      <c r="I151" s="55">
        <f>IF($A151&gt;0,$C151*VLOOKUP($A151,Düngemittel!$A$3:$M$510,7),0)</f>
        <v>0</v>
      </c>
      <c r="J151" s="237">
        <f>IF($A151&gt;0,VLOOKUP($A151,Düngemittel!$A$3:$S$510,10)*$C151,0)</f>
        <v>20.3918</v>
      </c>
      <c r="L151" s="239"/>
      <c r="M151" s="204"/>
      <c r="N151" s="240"/>
      <c r="O151" s="200"/>
      <c r="P151" s="200"/>
      <c r="Q151" s="200"/>
      <c r="R151" s="200"/>
      <c r="S151" s="200"/>
      <c r="T151" s="200"/>
      <c r="U151" s="202"/>
    </row>
    <row r="152" spans="1:21" ht="11.25" customHeight="1" x14ac:dyDescent="0.35">
      <c r="A152" s="27">
        <v>84</v>
      </c>
      <c r="B152" s="90" t="str">
        <f>IF($A152&gt;0,VLOOKUP($A152,Düngemittel!$A$3:$I$1362,2),"")</f>
        <v>Kohlensaurer Kalk 70+15</v>
      </c>
      <c r="C152" s="214">
        <v>1.75</v>
      </c>
      <c r="D152" s="54">
        <f>IF($A152&gt;0,$C152*VLOOKUP($A152,Düngemittel!$A$3:$M$510,3),0)</f>
        <v>0</v>
      </c>
      <c r="E152" s="54">
        <f>IF($A152&gt;0,$C152*VLOOKUP($A152,Düngemittel!$A$3:$M$510,4),0)</f>
        <v>0</v>
      </c>
      <c r="F152" s="54">
        <f>IF($A152&gt;0,$C152*VLOOKUP($A152,Düngemittel!$A$3:$M$510,5),0)</f>
        <v>0</v>
      </c>
      <c r="G152" s="54">
        <f>IF($A152&gt;0,$C152*VLOOKUP($A152,Düngemittel!$A$3:$M$510,6),0)</f>
        <v>12.25</v>
      </c>
      <c r="H152" s="54">
        <f>IF($A152&gt;0,$C152*VLOOKUP($A152,Düngemittel!$A$3:$M$510,8),0)</f>
        <v>85.75</v>
      </c>
      <c r="I152" s="55">
        <f>IF($A152&gt;0,$C152*VLOOKUP($A152,Düngemittel!$A$3:$M$510,7),0)</f>
        <v>0</v>
      </c>
      <c r="J152" s="308">
        <f>IF($A152&gt;0,VLOOKUP($A152,Düngemittel!$A$3:$S$510,10)*$C152,0)</f>
        <v>8.5050000000000008</v>
      </c>
      <c r="L152" s="239"/>
      <c r="M152" s="204"/>
      <c r="N152" s="240"/>
      <c r="O152" s="200"/>
      <c r="P152" s="200"/>
      <c r="Q152" s="200"/>
      <c r="R152" s="200"/>
      <c r="S152" s="200"/>
      <c r="T152" s="200"/>
      <c r="U152" s="201"/>
    </row>
    <row r="153" spans="1:21" ht="11.25" customHeight="1" x14ac:dyDescent="0.35">
      <c r="A153" s="192"/>
      <c r="B153" s="52" t="s">
        <v>246</v>
      </c>
      <c r="C153" s="264">
        <f>SUM(C145:C152)</f>
        <v>15.36</v>
      </c>
      <c r="D153" s="57"/>
      <c r="E153" s="57"/>
      <c r="F153" s="57"/>
      <c r="G153" s="57"/>
      <c r="H153" s="57"/>
      <c r="I153" s="58"/>
      <c r="J153" s="60">
        <f>SUM(J145:J152)</f>
        <v>235.42780000000002</v>
      </c>
      <c r="L153" s="239"/>
      <c r="M153" s="204"/>
      <c r="N153" s="240"/>
      <c r="O153" s="200"/>
      <c r="P153" s="200"/>
      <c r="Q153" s="200"/>
      <c r="R153" s="200"/>
      <c r="S153" s="200"/>
      <c r="T153" s="200"/>
      <c r="U153" s="202"/>
    </row>
    <row r="154" spans="1:21" ht="11.25" customHeight="1" x14ac:dyDescent="0.35">
      <c r="A154" s="224" t="s">
        <v>247</v>
      </c>
      <c r="B154" s="43"/>
      <c r="C154" s="129"/>
      <c r="D154" s="59">
        <f t="shared" ref="D154:I154" si="6">SUM(D145:D152)-E$24</f>
        <v>8.2519999999988158E-2</v>
      </c>
      <c r="E154" s="59">
        <f t="shared" si="6"/>
        <v>-6.1821812999994563E-2</v>
      </c>
      <c r="F154" s="59">
        <f t="shared" si="6"/>
        <v>-9.5687368000000106E-2</v>
      </c>
      <c r="G154" s="59">
        <f t="shared" si="6"/>
        <v>-2.7636788000002355E-2</v>
      </c>
      <c r="H154" s="59">
        <f t="shared" si="6"/>
        <v>-0.19577847999997289</v>
      </c>
      <c r="I154" s="59">
        <f t="shared" si="6"/>
        <v>0.41506420000000332</v>
      </c>
      <c r="J154" s="60"/>
      <c r="K154" s="61"/>
      <c r="L154" s="241"/>
      <c r="M154" s="135"/>
      <c r="N154" s="196"/>
      <c r="O154" s="200"/>
      <c r="P154" s="200"/>
      <c r="Q154" s="200"/>
      <c r="R154" s="200"/>
      <c r="S154" s="200"/>
      <c r="T154" s="200"/>
      <c r="U154" s="202"/>
    </row>
    <row r="155" spans="1:21" s="68" customFormat="1" ht="11.25" customHeight="1" x14ac:dyDescent="0.35">
      <c r="A155" s="64" t="s">
        <v>15</v>
      </c>
      <c r="B155" s="64" t="s">
        <v>248</v>
      </c>
      <c r="C155" s="130"/>
      <c r="D155" s="106"/>
      <c r="E155" s="67"/>
      <c r="F155" s="20" t="s">
        <v>250</v>
      </c>
      <c r="G155" s="19" t="s">
        <v>250</v>
      </c>
      <c r="H155" s="19" t="s">
        <v>251</v>
      </c>
      <c r="I155" s="19" t="s">
        <v>252</v>
      </c>
      <c r="J155" s="107"/>
      <c r="K155" s="69"/>
      <c r="L155" s="242"/>
      <c r="M155" s="242"/>
      <c r="N155" s="243"/>
      <c r="O155" s="243"/>
      <c r="P155" s="244"/>
      <c r="Q155" s="197"/>
      <c r="R155" s="197"/>
      <c r="S155" s="197"/>
      <c r="T155" s="197"/>
      <c r="U155" s="202"/>
    </row>
    <row r="156" spans="1:21" s="68" customFormat="1" ht="11.25" customHeight="1" x14ac:dyDescent="0.4">
      <c r="A156" s="71"/>
      <c r="B156" s="500"/>
      <c r="C156" s="108"/>
      <c r="D156" s="109"/>
      <c r="E156" s="74" t="s">
        <v>249</v>
      </c>
      <c r="F156" s="75" t="s">
        <v>249</v>
      </c>
      <c r="G156" s="23" t="s">
        <v>232</v>
      </c>
      <c r="H156" s="76" t="s">
        <v>254</v>
      </c>
      <c r="I156" s="23" t="s">
        <v>255</v>
      </c>
      <c r="J156" s="110"/>
      <c r="K156" s="69"/>
      <c r="L156" s="242"/>
      <c r="M156" s="511"/>
      <c r="N156" s="243"/>
      <c r="O156" s="243"/>
      <c r="P156" s="244"/>
      <c r="Q156" s="197"/>
      <c r="R156" s="197"/>
      <c r="S156" s="245"/>
      <c r="T156" s="197"/>
      <c r="U156" s="197"/>
    </row>
    <row r="157" spans="1:21" ht="11.25" customHeight="1" x14ac:dyDescent="0.4">
      <c r="A157" s="83">
        <v>104</v>
      </c>
      <c r="B157" s="84" t="str">
        <f>IF($A157&gt;0,VLOOKUP($A157,'Kosten Technik'!$A$2:$E$74,2),"")</f>
        <v>Düngung mit Auslegerstreuer, 24 m</v>
      </c>
      <c r="C157" s="84"/>
      <c r="D157" s="84"/>
      <c r="E157" s="51" t="str">
        <f>IF($A157&gt;0,VLOOKUP($A157,'Kosten Technik'!$A$2:$E$74,4),"")</f>
        <v>ha</v>
      </c>
      <c r="F157" s="79">
        <f>IF($A157&gt;0,VLOOKUP($A157,'Kosten Technik'!$A$2:$E$74,5),"")</f>
        <v>16.3</v>
      </c>
      <c r="G157" s="269">
        <f>+F157</f>
        <v>16.3</v>
      </c>
      <c r="H157" s="80">
        <v>3</v>
      </c>
      <c r="I157" s="81">
        <v>1</v>
      </c>
      <c r="J157" s="82">
        <f>+I157*H157*G157</f>
        <v>48.900000000000006</v>
      </c>
      <c r="K157" s="62"/>
      <c r="L157" s="239"/>
      <c r="M157" s="135"/>
      <c r="N157" s="135"/>
      <c r="O157" s="135"/>
      <c r="P157" s="204"/>
      <c r="Q157" s="196"/>
      <c r="R157" s="196"/>
      <c r="S157" s="240"/>
      <c r="T157" s="246"/>
      <c r="U157" s="203"/>
    </row>
    <row r="158" spans="1:21" ht="11.25" customHeight="1" x14ac:dyDescent="0.4">
      <c r="A158" s="83"/>
      <c r="B158" s="84" t="str">
        <f>IF($A158&gt;0,VLOOKUP($A158,'Kosten Technik'!$A$2:$E$74,2),"")</f>
        <v/>
      </c>
      <c r="C158" s="84"/>
      <c r="D158" s="84"/>
      <c r="E158" s="52" t="str">
        <f>IF($A158&gt;0,VLOOKUP($A158,'Kosten Technik'!$A$2:$E$74,4),"")</f>
        <v/>
      </c>
      <c r="F158" s="85" t="str">
        <f>IF($A158&gt;0,VLOOKUP($A158,'Kosten Technik'!$A$2:$E$74,5),"")</f>
        <v/>
      </c>
      <c r="G158" s="270" t="str">
        <f>+F158</f>
        <v/>
      </c>
      <c r="H158" s="86"/>
      <c r="I158" s="87"/>
      <c r="J158" s="82"/>
      <c r="K158" s="62"/>
      <c r="L158" s="239"/>
      <c r="M158" s="135"/>
      <c r="N158" s="135"/>
      <c r="O158" s="135"/>
      <c r="P158" s="204"/>
      <c r="Q158" s="196"/>
      <c r="R158" s="196"/>
      <c r="S158" s="240"/>
      <c r="T158" s="246"/>
      <c r="U158" s="203"/>
    </row>
    <row r="159" spans="1:21" ht="11.25" customHeight="1" x14ac:dyDescent="0.4">
      <c r="A159" s="83">
        <v>105</v>
      </c>
      <c r="B159" s="84" t="str">
        <f>IF($A159&gt;0,VLOOKUP($A159,'Kosten Technik'!$A$2:$E$74,2),"")</f>
        <v xml:space="preserve">Düngung mit Großbehälterstreuer </v>
      </c>
      <c r="C159" s="84"/>
      <c r="D159" s="84"/>
      <c r="E159" s="52" t="str">
        <f>IF($A159&gt;0,VLOOKUP($A159,'Kosten Technik'!$A$2:$E$74,4),"")</f>
        <v>dt</v>
      </c>
      <c r="F159" s="85">
        <f>IF($A159&gt;0,VLOOKUP($A159,'Kosten Technik'!$A$2:$E$74,5),"")</f>
        <v>3</v>
      </c>
      <c r="G159" s="270">
        <f>+F159</f>
        <v>3</v>
      </c>
      <c r="H159" s="86">
        <v>2.2000000000000002</v>
      </c>
      <c r="I159" s="87">
        <v>1</v>
      </c>
      <c r="J159" s="93">
        <f>+I159*H159*G159</f>
        <v>6.6000000000000005</v>
      </c>
      <c r="K159" s="62"/>
      <c r="L159" s="239"/>
      <c r="M159" s="135"/>
      <c r="N159" s="135"/>
      <c r="O159" s="135"/>
      <c r="P159" s="204"/>
      <c r="Q159" s="196"/>
      <c r="R159" s="196"/>
      <c r="S159" s="240"/>
      <c r="T159" s="246"/>
      <c r="U159" s="203"/>
    </row>
    <row r="160" spans="1:21" ht="11.25" hidden="1" customHeight="1" x14ac:dyDescent="0.4">
      <c r="A160" s="83"/>
      <c r="B160" s="84" t="str">
        <f>IF($A160&gt;0,VLOOKUP($A160,'Kosten Technik'!$A$2:$E$74,2),"")</f>
        <v/>
      </c>
      <c r="C160" s="84"/>
      <c r="D160" s="84"/>
      <c r="E160" s="52" t="str">
        <f>IF($A160&gt;0,VLOOKUP($A160,'Kosten Technik'!$A$2:$E$74,4),"")</f>
        <v/>
      </c>
      <c r="F160" s="85" t="str">
        <f>IF($A160&gt;0,VLOOKUP($A160,'Kosten Technik'!$A$2:$E$74,5),"")</f>
        <v/>
      </c>
      <c r="G160" s="270"/>
      <c r="H160" s="86"/>
      <c r="I160" s="87"/>
      <c r="J160" s="82"/>
      <c r="K160" s="62"/>
      <c r="L160" s="239"/>
      <c r="M160" s="135"/>
      <c r="N160" s="135"/>
      <c r="O160" s="135"/>
      <c r="P160" s="204"/>
      <c r="Q160" s="196"/>
      <c r="R160" s="196"/>
      <c r="S160" s="240"/>
      <c r="T160" s="246"/>
      <c r="U160" s="203"/>
    </row>
    <row r="161" spans="1:21" ht="11.25" hidden="1" customHeight="1" x14ac:dyDescent="0.4">
      <c r="A161" s="83"/>
      <c r="B161" s="84" t="str">
        <f>IF($A161&gt;0,VLOOKUP($A161,'Kosten Technik'!$A$2:$E$74,2),"")</f>
        <v/>
      </c>
      <c r="C161" s="84"/>
      <c r="D161" s="84"/>
      <c r="E161" s="52" t="str">
        <f>IF($A161&gt;0,VLOOKUP($A161,'Kosten Technik'!$A$2:$E$74,4),"")</f>
        <v/>
      </c>
      <c r="F161" s="85" t="str">
        <f>IF($A161&gt;0,VLOOKUP($A161,'Kosten Technik'!$A$2:$E$74,5),"")</f>
        <v/>
      </c>
      <c r="G161" s="270"/>
      <c r="H161" s="86"/>
      <c r="I161" s="87"/>
      <c r="J161" s="82"/>
      <c r="K161" s="62"/>
      <c r="L161" s="239"/>
      <c r="M161" s="135"/>
      <c r="N161" s="135"/>
      <c r="O161" s="135"/>
      <c r="P161" s="204"/>
      <c r="Q161" s="196"/>
      <c r="R161" s="196"/>
      <c r="S161" s="240"/>
      <c r="T161" s="246"/>
      <c r="U161" s="203"/>
    </row>
    <row r="162" spans="1:21" ht="11.25" customHeight="1" x14ac:dyDescent="0.4">
      <c r="A162" s="83">
        <v>109</v>
      </c>
      <c r="B162" s="89" t="str">
        <f>IF($A162&gt;0,VLOOKUP($A162,'Kosten Technik'!$A$2:$E$74,2),"")</f>
        <v>Düngung kohls.Kalk im Lohnverfahren</v>
      </c>
      <c r="C162" s="89"/>
      <c r="D162" s="89"/>
      <c r="E162" s="52" t="str">
        <f>IF($A162&gt;0,VLOOKUP($A162,'Kosten Technik'!$A$2:$E$74,4),"")</f>
        <v>dt</v>
      </c>
      <c r="F162" s="85">
        <f>IF($A162&gt;0,VLOOKUP($A162,'Kosten Technik'!$A$2:$E$74,5),"")</f>
        <v>1</v>
      </c>
      <c r="G162" s="196">
        <f>+F162*C150+F162*C151+F162*C152</f>
        <v>8.879999999999999</v>
      </c>
      <c r="H162" s="86">
        <v>1</v>
      </c>
      <c r="I162" s="132">
        <v>1</v>
      </c>
      <c r="J162" s="93">
        <f>+I162*H162*G162</f>
        <v>8.879999999999999</v>
      </c>
      <c r="K162" s="62"/>
      <c r="L162" s="239"/>
      <c r="M162" s="135"/>
      <c r="N162" s="135"/>
      <c r="O162" s="135"/>
      <c r="P162" s="204"/>
      <c r="Q162" s="196"/>
      <c r="R162" s="196"/>
      <c r="S162" s="240"/>
      <c r="T162" s="246"/>
      <c r="U162" s="203"/>
    </row>
    <row r="163" spans="1:21" ht="11.25" customHeight="1" x14ac:dyDescent="0.4">
      <c r="A163" s="265"/>
      <c r="B163" s="89" t="s">
        <v>261</v>
      </c>
      <c r="C163" s="89"/>
      <c r="D163" s="89"/>
      <c r="E163" s="90"/>
      <c r="F163" s="91"/>
      <c r="G163" s="92"/>
      <c r="H163" s="266"/>
      <c r="I163" s="267"/>
      <c r="J163" s="93">
        <f>SUM(J156:J162)</f>
        <v>64.38000000000001</v>
      </c>
      <c r="K163" s="62"/>
      <c r="L163" s="239"/>
      <c r="M163" s="135"/>
      <c r="N163" s="135"/>
      <c r="O163" s="135"/>
      <c r="P163" s="204"/>
      <c r="Q163" s="196"/>
      <c r="R163" s="196"/>
      <c r="S163" s="240"/>
      <c r="T163" s="246"/>
      <c r="U163" s="203"/>
    </row>
    <row r="164" spans="1:21" ht="11.25" customHeight="1" x14ac:dyDescent="0.4">
      <c r="A164" s="64" t="s">
        <v>15</v>
      </c>
      <c r="B164" s="142" t="s">
        <v>263</v>
      </c>
      <c r="C164" s="65"/>
      <c r="D164" s="66"/>
      <c r="E164" s="67" t="s">
        <v>249</v>
      </c>
      <c r="F164" s="19" t="s">
        <v>250</v>
      </c>
      <c r="G164" s="19" t="s">
        <v>250</v>
      </c>
      <c r="H164" s="19" t="s">
        <v>264</v>
      </c>
      <c r="I164" s="19" t="s">
        <v>252</v>
      </c>
      <c r="J164" s="56"/>
      <c r="K164" s="62"/>
      <c r="L164" s="242"/>
      <c r="M164" s="512"/>
      <c r="N164" s="247"/>
      <c r="O164" s="247"/>
      <c r="P164" s="244"/>
      <c r="Q164" s="197"/>
      <c r="R164" s="197"/>
      <c r="S164" s="197"/>
      <c r="T164" s="197"/>
      <c r="U164" s="202"/>
    </row>
    <row r="165" spans="1:21" ht="11.25" customHeight="1" x14ac:dyDescent="0.4">
      <c r="A165" s="71"/>
      <c r="B165" s="71"/>
      <c r="C165" s="72"/>
      <c r="D165" s="73"/>
      <c r="E165" s="74"/>
      <c r="F165" s="146" t="s">
        <v>249</v>
      </c>
      <c r="G165" s="23" t="s">
        <v>232</v>
      </c>
      <c r="H165" s="23"/>
      <c r="I165" s="23" t="s">
        <v>255</v>
      </c>
      <c r="J165" s="23"/>
      <c r="K165" s="62"/>
      <c r="L165" s="242"/>
      <c r="M165" s="242"/>
      <c r="N165" s="247"/>
      <c r="O165" s="247"/>
      <c r="P165" s="244"/>
      <c r="Q165" s="248"/>
      <c r="R165" s="197"/>
      <c r="S165" s="197"/>
      <c r="T165" s="197"/>
      <c r="U165" s="197"/>
    </row>
    <row r="166" spans="1:21" ht="11.25" customHeight="1" x14ac:dyDescent="0.4">
      <c r="A166" s="52"/>
      <c r="B166" s="143" t="str">
        <f>IF($A166&gt;0,VLOOKUP($A166,'Kosten Technik'!$A$2:$E$74,2),"")</f>
        <v/>
      </c>
      <c r="C166" s="65"/>
      <c r="D166" s="66"/>
      <c r="E166" s="52" t="str">
        <f>IF($A166&gt;0,VLOOKUP($A166,'Kosten Technik'!$A$2:$E$74,4),"")</f>
        <v/>
      </c>
      <c r="F166" s="85" t="str">
        <f>IF($A166&gt;0,VLOOKUP($A166,'Kosten Technik'!$A$2:$E$74,5),"")</f>
        <v/>
      </c>
      <c r="G166" s="271"/>
      <c r="H166" s="226"/>
      <c r="I166" s="87"/>
      <c r="J166" s="82"/>
      <c r="K166" s="62"/>
      <c r="L166" s="242"/>
      <c r="M166" s="242"/>
      <c r="N166" s="247"/>
      <c r="O166" s="247"/>
      <c r="P166" s="244"/>
      <c r="Q166" s="248"/>
      <c r="R166" s="197"/>
      <c r="S166" s="197"/>
      <c r="T166" s="197"/>
      <c r="U166" s="197"/>
    </row>
    <row r="167" spans="1:21" ht="11.25" customHeight="1" x14ac:dyDescent="0.4">
      <c r="A167" s="83">
        <v>123</v>
      </c>
      <c r="B167" s="94" t="str">
        <f>IF($A167&gt;0,VLOOKUP($A167,'Kosten Technik'!$A$2:$E$74,2),"")</f>
        <v>Mineraldüngerlager, hofeigen</v>
      </c>
      <c r="C167" s="89"/>
      <c r="D167" s="144"/>
      <c r="E167" s="52" t="str">
        <f>IF($A167&gt;0,VLOOKUP($A167,'Kosten Technik'!$A$2:$E$74,4),"")</f>
        <v>dt</v>
      </c>
      <c r="F167" s="85">
        <f>IF($A167&gt;0,VLOOKUP($A167,'Kosten Technik'!$A$2:$E$74,5),"")</f>
        <v>1</v>
      </c>
      <c r="G167" s="271"/>
      <c r="H167" s="226">
        <f>C153-C151-C152-C150</f>
        <v>6.48</v>
      </c>
      <c r="I167" s="87">
        <v>1</v>
      </c>
      <c r="J167" s="93">
        <f>+I167*F167*H167</f>
        <v>6.48</v>
      </c>
      <c r="K167" s="62"/>
      <c r="L167" s="239"/>
      <c r="M167" s="135"/>
      <c r="N167" s="135"/>
      <c r="O167" s="135"/>
      <c r="P167" s="204"/>
      <c r="Q167" s="196"/>
      <c r="R167" s="249"/>
      <c r="S167" s="196"/>
      <c r="T167" s="246"/>
      <c r="U167" s="203"/>
    </row>
    <row r="168" spans="1:21" ht="11.25" customHeight="1" x14ac:dyDescent="0.4">
      <c r="A168" s="265"/>
      <c r="B168" s="89" t="s">
        <v>265</v>
      </c>
      <c r="C168" s="89"/>
      <c r="D168" s="89"/>
      <c r="E168" s="52"/>
      <c r="F168" s="85"/>
      <c r="G168" s="145"/>
      <c r="H168" s="268"/>
      <c r="I168" s="267"/>
      <c r="J168" s="93">
        <f>SUM(J166:J167)</f>
        <v>6.48</v>
      </c>
      <c r="K168" s="62"/>
      <c r="L168" s="239"/>
      <c r="M168" s="135"/>
      <c r="N168" s="135"/>
      <c r="O168" s="135"/>
      <c r="P168" s="204"/>
      <c r="Q168" s="196"/>
      <c r="R168" s="249"/>
      <c r="S168" s="196"/>
      <c r="T168" s="246"/>
      <c r="U168" s="203"/>
    </row>
    <row r="169" spans="1:21" ht="11.25" customHeight="1" x14ac:dyDescent="0.4">
      <c r="A169" s="64" t="s">
        <v>15</v>
      </c>
      <c r="B169" s="496" t="s">
        <v>266</v>
      </c>
      <c r="C169" s="65"/>
      <c r="D169" s="66"/>
      <c r="E169" s="67" t="s">
        <v>249</v>
      </c>
      <c r="F169" s="19" t="s">
        <v>250</v>
      </c>
      <c r="G169" s="19" t="s">
        <v>250</v>
      </c>
      <c r="H169" s="19" t="s">
        <v>264</v>
      </c>
      <c r="I169" s="19" t="s">
        <v>252</v>
      </c>
      <c r="J169" s="56"/>
      <c r="K169" s="100"/>
      <c r="L169" s="135"/>
      <c r="M169" s="136"/>
      <c r="N169" s="137"/>
      <c r="O169" s="137"/>
      <c r="P169" s="138"/>
      <c r="Q169" s="138"/>
      <c r="R169" s="137"/>
      <c r="S169" s="137"/>
      <c r="T169" s="139"/>
      <c r="U169" s="140"/>
    </row>
    <row r="170" spans="1:21" ht="11.25" customHeight="1" x14ac:dyDescent="0.4">
      <c r="A170" s="71"/>
      <c r="B170" s="71"/>
      <c r="C170" s="72"/>
      <c r="D170" s="73"/>
      <c r="E170" s="74"/>
      <c r="F170" s="146" t="s">
        <v>249</v>
      </c>
      <c r="G170" s="23" t="s">
        <v>232</v>
      </c>
      <c r="H170" s="23"/>
      <c r="I170" s="23" t="s">
        <v>255</v>
      </c>
      <c r="J170" s="23"/>
      <c r="K170" s="100"/>
      <c r="L170" s="135"/>
      <c r="M170" s="136"/>
      <c r="N170" s="137"/>
      <c r="O170" s="137"/>
      <c r="P170" s="138"/>
      <c r="Q170" s="138"/>
      <c r="R170" s="137"/>
      <c r="S170" s="137"/>
      <c r="T170" s="139"/>
      <c r="U170" s="140"/>
    </row>
    <row r="171" spans="1:21" ht="11.25" customHeight="1" x14ac:dyDescent="0.4">
      <c r="A171" s="77">
        <v>141</v>
      </c>
      <c r="B171" s="143" t="str">
        <f>IF($A171&gt;0,VLOOKUP($A171,'Kosten Technik'!$A$2:$E$74,2),"")</f>
        <v>LKW-Lieferung unter 100 km</v>
      </c>
      <c r="C171" s="78"/>
      <c r="D171" s="111"/>
      <c r="E171" s="51" t="str">
        <f>IF($A171&gt;0,VLOOKUP($A171,'Kosten Technik'!$A$2:$E$74,4),"")</f>
        <v>dt</v>
      </c>
      <c r="F171" s="79">
        <f>IF($A171&gt;0,VLOOKUP($A171,'Kosten Technik'!$A$2:$E$74,5),0)</f>
        <v>0.9</v>
      </c>
      <c r="G171" s="196"/>
      <c r="H171" s="225">
        <f>SUM(C145:C149)</f>
        <v>6.4799999999999995</v>
      </c>
      <c r="I171" s="81">
        <v>1</v>
      </c>
      <c r="J171" s="112">
        <f>+I171*F171*H171</f>
        <v>5.8319999999999999</v>
      </c>
      <c r="K171" s="100"/>
      <c r="L171" s="135"/>
      <c r="M171" s="136"/>
      <c r="N171" s="137"/>
      <c r="O171" s="137"/>
      <c r="P171" s="138"/>
      <c r="Q171" s="138"/>
      <c r="R171" s="137"/>
      <c r="S171" s="137"/>
      <c r="T171" s="139"/>
      <c r="U171" s="140"/>
    </row>
    <row r="172" spans="1:21" ht="11.25" customHeight="1" x14ac:dyDescent="0.4">
      <c r="A172" s="83">
        <v>141</v>
      </c>
      <c r="B172" s="94" t="str">
        <f>IF($A172&gt;0,VLOOKUP($A172,'Kosten Technik'!$A$2:$E$74,2),"")</f>
        <v>LKW-Lieferung unter 100 km</v>
      </c>
      <c r="C172" s="89"/>
      <c r="D172" s="144"/>
      <c r="E172" s="52" t="str">
        <f>IF($A172&gt;0,VLOOKUP($A172,'Kosten Technik'!$A$2:$E$74,4),"")</f>
        <v>dt</v>
      </c>
      <c r="F172" s="85">
        <f>IF($A172&gt;0,VLOOKUP($A172,'Kosten Technik'!$A$2:$E$74,5),0)</f>
        <v>0.9</v>
      </c>
      <c r="G172" s="196"/>
      <c r="H172" s="226">
        <f>SUM(C150:C152)</f>
        <v>8.879999999999999</v>
      </c>
      <c r="I172" s="87">
        <v>1</v>
      </c>
      <c r="J172" s="93">
        <f>+I172*F172*H172</f>
        <v>7.9919999999999991</v>
      </c>
      <c r="K172" s="100"/>
      <c r="L172" s="135"/>
      <c r="M172" s="136"/>
      <c r="N172" s="137"/>
      <c r="O172" s="137"/>
      <c r="P172" s="138"/>
      <c r="Q172" s="138"/>
      <c r="R172" s="137"/>
      <c r="S172" s="137"/>
      <c r="T172" s="139"/>
      <c r="U172" s="140"/>
    </row>
    <row r="173" spans="1:21" ht="11.25" customHeight="1" x14ac:dyDescent="0.4">
      <c r="A173" s="265"/>
      <c r="B173" s="260" t="s">
        <v>267</v>
      </c>
      <c r="C173" s="89"/>
      <c r="D173" s="89"/>
      <c r="E173" s="52"/>
      <c r="F173" s="85"/>
      <c r="G173" s="145"/>
      <c r="H173" s="268"/>
      <c r="I173" s="267"/>
      <c r="J173" s="93">
        <f>SUM(J171:J172)</f>
        <v>13.823999999999998</v>
      </c>
      <c r="K173" s="100"/>
      <c r="L173" s="135"/>
      <c r="M173" s="136"/>
      <c r="N173" s="137"/>
      <c r="O173" s="137"/>
      <c r="P173" s="138"/>
      <c r="Q173" s="138"/>
      <c r="R173" s="137"/>
      <c r="S173" s="137"/>
      <c r="T173" s="139"/>
      <c r="U173" s="140"/>
    </row>
    <row r="174" spans="1:21" ht="11.25" customHeight="1" x14ac:dyDescent="0.4">
      <c r="A174" s="258"/>
      <c r="B174" s="95" t="s">
        <v>268</v>
      </c>
      <c r="C174" s="96"/>
      <c r="D174" s="96"/>
      <c r="E174" s="97"/>
      <c r="F174" s="97"/>
      <c r="G174" s="96"/>
      <c r="H174" s="96"/>
      <c r="I174" s="259"/>
      <c r="J174" s="98">
        <f>J153+J163+J168+J173</f>
        <v>320.11180000000007</v>
      </c>
      <c r="K174" s="100"/>
      <c r="L174" s="135"/>
      <c r="M174" s="136"/>
      <c r="N174" s="137"/>
      <c r="O174" s="137"/>
      <c r="P174" s="138"/>
      <c r="Q174" s="138"/>
      <c r="R174" s="137"/>
      <c r="S174" s="137"/>
      <c r="T174" s="139"/>
      <c r="U174" s="140"/>
    </row>
    <row r="175" spans="1:21" ht="11.25" customHeight="1" x14ac:dyDescent="0.4">
      <c r="A175" s="470"/>
      <c r="B175" s="470"/>
      <c r="C175" s="470"/>
      <c r="D175" s="470"/>
      <c r="E175" s="470"/>
      <c r="K175" s="100"/>
      <c r="L175" s="63"/>
    </row>
    <row r="176" spans="1:21" ht="11.25" customHeight="1" x14ac:dyDescent="0.4">
      <c r="A176" s="470"/>
      <c r="B176" s="470"/>
      <c r="C176" s="470"/>
      <c r="D176" s="470"/>
      <c r="E176" s="470"/>
      <c r="K176" s="100"/>
      <c r="L176" s="63"/>
    </row>
    <row r="177" spans="1:18" ht="12.3" x14ac:dyDescent="0.4">
      <c r="A177" s="497" t="s">
        <v>274</v>
      </c>
      <c r="B177" s="513" t="s">
        <v>275</v>
      </c>
      <c r="C177" s="217"/>
      <c r="D177" s="495"/>
      <c r="E177" s="495"/>
      <c r="F177" s="495"/>
      <c r="G177" s="495"/>
      <c r="H177" s="411"/>
      <c r="I177" s="217"/>
      <c r="J177" s="218"/>
      <c r="K177" s="100"/>
      <c r="L177" s="63"/>
    </row>
    <row r="178" spans="1:18" ht="11.25" customHeight="1" x14ac:dyDescent="0.35">
      <c r="A178" s="18" t="s">
        <v>15</v>
      </c>
      <c r="B178" s="19" t="s">
        <v>81</v>
      </c>
      <c r="C178" s="19" t="s">
        <v>243</v>
      </c>
      <c r="D178" s="19" t="s">
        <v>22</v>
      </c>
      <c r="E178" s="20" t="s">
        <v>71</v>
      </c>
      <c r="F178" s="19" t="s">
        <v>74</v>
      </c>
      <c r="G178" s="20" t="s">
        <v>23</v>
      </c>
      <c r="H178" s="19" t="s">
        <v>25</v>
      </c>
      <c r="I178" s="19" t="s">
        <v>24</v>
      </c>
      <c r="J178" s="19" t="s">
        <v>244</v>
      </c>
    </row>
    <row r="179" spans="1:18" ht="11.25" customHeight="1" x14ac:dyDescent="0.35">
      <c r="A179" s="48"/>
      <c r="B179" s="103"/>
      <c r="C179" s="24" t="s">
        <v>233</v>
      </c>
      <c r="D179" s="24" t="s">
        <v>234</v>
      </c>
      <c r="E179" s="49" t="s">
        <v>234</v>
      </c>
      <c r="F179" s="50" t="s">
        <v>234</v>
      </c>
      <c r="G179" s="49" t="s">
        <v>234</v>
      </c>
      <c r="H179" s="50" t="s">
        <v>234</v>
      </c>
      <c r="I179" s="50" t="s">
        <v>234</v>
      </c>
      <c r="J179" s="24" t="s">
        <v>245</v>
      </c>
    </row>
    <row r="180" spans="1:18" ht="11.25" customHeight="1" x14ac:dyDescent="0.35">
      <c r="A180" s="77">
        <v>3</v>
      </c>
      <c r="B180" s="52" t="str">
        <f>IF($A180&gt;0,VLOOKUP($A180,Düngemittel!$A$3:$I$510,2),"")</f>
        <v>Harnstoff, 46 % N, stabilisiert</v>
      </c>
      <c r="C180" s="231">
        <f>3.68+0.0215</f>
        <v>3.7015000000000002</v>
      </c>
      <c r="D180" s="54">
        <f>IF($A180&gt;0,$C180*VLOOKUP($A180,Düngemittel!$A$3:$M$510,3),0)</f>
        <v>170.26900000000001</v>
      </c>
      <c r="E180" s="54">
        <f>IF($A180&gt;0,$C180*VLOOKUP($A180,Düngemittel!$A$3:$M$510,4),0)</f>
        <v>0</v>
      </c>
      <c r="F180" s="54">
        <f>IF($A180&gt;0,$C180*VLOOKUP($A180,Düngemittel!$A$3:$M$510,5),0)</f>
        <v>0</v>
      </c>
      <c r="G180" s="54">
        <f>IF($A180&gt;0,$C180*VLOOKUP($A180,Düngemittel!$A$3:$M$510,6),0)</f>
        <v>0</v>
      </c>
      <c r="H180" s="54">
        <f>IF($A180&gt;0,$C180*VLOOKUP($A180,Düngemittel!$A$3:$M$510,8),0)</f>
        <v>-170.26900000000001</v>
      </c>
      <c r="I180" s="55">
        <f>IF($A180&gt;0,$C180*VLOOKUP($A180,Düngemittel!$A$3:$M$510,7),0)</f>
        <v>0</v>
      </c>
      <c r="J180" s="237">
        <f>IF($A180&gt;0,VLOOKUP($A180,Düngemittel!$A$3:$S$510,10)*$C180,0)</f>
        <v>120.29875000000001</v>
      </c>
    </row>
    <row r="181" spans="1:18" ht="11.25" customHeight="1" x14ac:dyDescent="0.35">
      <c r="A181" s="83">
        <v>9</v>
      </c>
      <c r="B181" s="52" t="str">
        <f>IF($A181&gt;0,VLOOKUP($A181,Düngemittel!$A$3:$I$1362,2),"")</f>
        <v>Schwefelsaures Amoniak 21% N + 24% S,</v>
      </c>
      <c r="C181" s="53">
        <f>0.23-0.05</f>
        <v>0.18</v>
      </c>
      <c r="D181" s="54">
        <f>IF($A181&gt;0,$C181*VLOOKUP($A181,Düngemittel!$A$3:$M$510,3),0)</f>
        <v>3.78</v>
      </c>
      <c r="E181" s="54">
        <f>IF($A181&gt;0,$C181*VLOOKUP($A181,Düngemittel!$A$3:$M$510,4),0)</f>
        <v>0</v>
      </c>
      <c r="F181" s="54">
        <f>IF($A181&gt;0,$C181*VLOOKUP($A181,Düngemittel!$A$3:$M$510,5),0)</f>
        <v>0</v>
      </c>
      <c r="G181" s="54">
        <f>IF($A181&gt;0,$C181*VLOOKUP($A181,Düngemittel!$A$3:$M$510,6),0)</f>
        <v>0</v>
      </c>
      <c r="H181" s="54">
        <f>IF($A181&gt;0,$C181*VLOOKUP($A181,Düngemittel!$A$3:$M$510,8),0)</f>
        <v>-11.34</v>
      </c>
      <c r="I181" s="55">
        <f>IF($A181&gt;0,$C181*VLOOKUP($A181,Düngemittel!$A$3:$M$510,7),0)</f>
        <v>4.32</v>
      </c>
      <c r="J181" s="237">
        <f>IF($A181&gt;0,VLOOKUP($A181,Düngemittel!$A$3:$S$510,10)*$C181,0)</f>
        <v>4.8581999999999992</v>
      </c>
    </row>
    <row r="182" spans="1:18" ht="11.25" customHeight="1" x14ac:dyDescent="0.35">
      <c r="A182" s="83">
        <v>58</v>
      </c>
      <c r="B182" s="52" t="str">
        <f>IF($A182&gt;0,VLOOKUP($A182,Düngemittel!$A$3:$I$1362,2),"")</f>
        <v>Rhe-Ka-Phos 14+24</v>
      </c>
      <c r="C182" s="53">
        <f>2.63+0.1</f>
        <v>2.73</v>
      </c>
      <c r="D182" s="54">
        <f>IF($A182&gt;0,$C182*VLOOKUP($A182,Düngemittel!$A$3:$M$510,3),0)</f>
        <v>0</v>
      </c>
      <c r="E182" s="54">
        <f>IF($A182&gt;0,$C182*VLOOKUP($A182,Düngemittel!$A$3:$M$510,4),0)</f>
        <v>35.49</v>
      </c>
      <c r="F182" s="54">
        <f>IF($A182&gt;0,$C182*VLOOKUP($A182,Düngemittel!$A$3:$M$510,5),0)</f>
        <v>62.79</v>
      </c>
      <c r="G182" s="54">
        <f>IF($A182&gt;0,$C182*VLOOKUP($A182,Düngemittel!$A$3:$M$510,6),0)</f>
        <v>0</v>
      </c>
      <c r="H182" s="54">
        <f>IF($A182&gt;0,$C182*VLOOKUP($A182,Düngemittel!$A$3:$M$510,8),0)</f>
        <v>0</v>
      </c>
      <c r="I182" s="55">
        <f>IF($A182&gt;0,$C182*VLOOKUP($A182,Düngemittel!$A$3:$M$510,7),0)</f>
        <v>16.38</v>
      </c>
      <c r="J182" s="237">
        <f>IF($A182&gt;0,VLOOKUP($A182,Düngemittel!$A$3:$S$510,10)*$C182,0)</f>
        <v>78.760500000000008</v>
      </c>
    </row>
    <row r="183" spans="1:18" ht="11.25" customHeight="1" x14ac:dyDescent="0.35">
      <c r="A183" s="83">
        <v>45</v>
      </c>
      <c r="B183" s="52" t="str">
        <f>IF($A183&gt;0,VLOOKUP($A183,Düngemittel!$A$3:$I$1362,2),"")</f>
        <v>Triple-Phosphat, 46 % P2O5</v>
      </c>
      <c r="C183" s="53">
        <v>0.36499999999999999</v>
      </c>
      <c r="D183" s="54">
        <f>IF($A183&gt;0,$C183*VLOOKUP($A183,Düngemittel!$A$3:$M$510,3),0)</f>
        <v>0</v>
      </c>
      <c r="E183" s="54">
        <f>IF($A183&gt;0,$C183*VLOOKUP($A183,Düngemittel!$A$3:$M$510,4),0)</f>
        <v>16.425000000000001</v>
      </c>
      <c r="F183" s="54">
        <f>IF($A183&gt;0,$C183*VLOOKUP($A183,Düngemittel!$A$3:$M$510,5),0)</f>
        <v>0</v>
      </c>
      <c r="G183" s="54">
        <f>IF($A183&gt;0,$C183*VLOOKUP($A183,Düngemittel!$A$3:$M$510,6),0)</f>
        <v>0</v>
      </c>
      <c r="H183" s="54">
        <f>IF($A183&gt;0,$C183*VLOOKUP($A183,Düngemittel!$A$3:$M$510,8),0)</f>
        <v>-1.095</v>
      </c>
      <c r="I183" s="55">
        <f>IF($A183&gt;0,$C183*VLOOKUP($A183,Düngemittel!$A$3:$M$510,7),0)</f>
        <v>0</v>
      </c>
      <c r="J183" s="237">
        <f>IF($A183&gt;0,VLOOKUP($A183,Düngemittel!$A$3:$S$510,10)*$C183,0)</f>
        <v>14.089</v>
      </c>
    </row>
    <row r="184" spans="1:18" ht="11.25" customHeight="1" x14ac:dyDescent="0.35">
      <c r="A184" s="83"/>
      <c r="B184" s="52" t="str">
        <f>IF($A184&gt;0,VLOOKUP($A184,Düngemittel!$A$3:$I$1362,2),"")</f>
        <v/>
      </c>
      <c r="C184" s="53"/>
      <c r="D184" s="54">
        <f>IF($A184&gt;0,$C184*VLOOKUP($A184,Düngemittel!$A$3:$M$510,3),0)</f>
        <v>0</v>
      </c>
      <c r="E184" s="54">
        <f>IF($A184&gt;0,$C184*VLOOKUP($A184,Düngemittel!$A$3:$M$510,4),0)</f>
        <v>0</v>
      </c>
      <c r="F184" s="54">
        <f>IF($A184&gt;0,$C184*VLOOKUP($A184,Düngemittel!$A$3:$M$510,5),0)</f>
        <v>0</v>
      </c>
      <c r="G184" s="54">
        <f>IF($A184&gt;0,$C184*VLOOKUP($A184,Düngemittel!$A$3:$M$510,6),0)</f>
        <v>0</v>
      </c>
      <c r="H184" s="54">
        <f>IF($A184&gt;0,$C184*VLOOKUP($A184,Düngemittel!$A$3:$M$510,8),0)</f>
        <v>0</v>
      </c>
      <c r="I184" s="55">
        <f>IF($A184&gt;0,$C184*VLOOKUP($A184,Düngemittel!$A$3:$M$510,7),0)</f>
        <v>0</v>
      </c>
      <c r="J184" s="237">
        <f>IF($A184&gt;0,VLOOKUP($A184,Düngemittel!$A$3:$S$510,10)*$C184,0)</f>
        <v>0</v>
      </c>
    </row>
    <row r="185" spans="1:18" ht="11.25" customHeight="1" x14ac:dyDescent="0.35">
      <c r="A185" s="83"/>
      <c r="B185" s="52" t="str">
        <f>IF($A185&gt;0,VLOOKUP($A185,Düngemittel!$A$3:$I$1362,2),"")</f>
        <v/>
      </c>
      <c r="C185" s="53"/>
      <c r="D185" s="54">
        <f>IF($A185&gt;0,$C185*VLOOKUP($A185,Düngemittel!$A$3:$M$510,3),0)</f>
        <v>0</v>
      </c>
      <c r="E185" s="54">
        <f>IF($A185&gt;0,$C185*VLOOKUP($A185,Düngemittel!$A$3:$M$510,4),0)</f>
        <v>0</v>
      </c>
      <c r="F185" s="54">
        <f>IF($A185&gt;0,$C185*VLOOKUP($A185,Düngemittel!$A$3:$M$510,5),0)</f>
        <v>0</v>
      </c>
      <c r="G185" s="54">
        <f>IF($A185&gt;0,$C185*VLOOKUP($A185,Düngemittel!$A$3:$M$510,6),0)</f>
        <v>0</v>
      </c>
      <c r="H185" s="54">
        <f>IF($A185&gt;0,$C185*VLOOKUP($A185,Düngemittel!$A$3:$M$510,8),0)</f>
        <v>0</v>
      </c>
      <c r="I185" s="55">
        <f>IF($A185&gt;0,$C185*VLOOKUP($A185,Düngemittel!$A$3:$M$510,7),0)</f>
        <v>0</v>
      </c>
      <c r="J185" s="237">
        <f>IF($A185&gt;0,VLOOKUP($A185,Düngemittel!$A$3:$S$510,10)*$C185,0)</f>
        <v>0</v>
      </c>
    </row>
    <row r="186" spans="1:18" ht="11.25" customHeight="1" x14ac:dyDescent="0.35">
      <c r="A186" s="83">
        <v>83</v>
      </c>
      <c r="B186" s="52" t="str">
        <f>IF($A186&gt;0,VLOOKUP($A186,Düngemittel!$A$3:$I$1362,2),"")</f>
        <v>Kohlensauer Kalk, 80 % CaCO3 + 5 MgCO3</v>
      </c>
      <c r="C186" s="53">
        <f>6.23-0.03255</f>
        <v>6.1974500000000008</v>
      </c>
      <c r="D186" s="54">
        <f>IF($A186&gt;0,$C186*VLOOKUP($A186,Düngemittel!$A$3:$M$510,3),0)</f>
        <v>0</v>
      </c>
      <c r="E186" s="54">
        <f>IF($A186&gt;0,$C186*VLOOKUP($A186,Düngemittel!$A$3:$M$510,4),0)</f>
        <v>0</v>
      </c>
      <c r="F186" s="54">
        <f>IF($A186&gt;0,$C186*VLOOKUP($A186,Düngemittel!$A$3:$M$510,5),0)</f>
        <v>0</v>
      </c>
      <c r="G186" s="54">
        <f>IF($A186&gt;0,$C186*VLOOKUP($A186,Düngemittel!$A$3:$M$510,6),0)</f>
        <v>12.394900000000002</v>
      </c>
      <c r="H186" s="54">
        <f>IF($A186&gt;0,$C186*VLOOKUP($A186,Düngemittel!$A$3:$M$510,8),0)</f>
        <v>297.47760000000005</v>
      </c>
      <c r="I186" s="55">
        <f>IF($A186&gt;0,$C186*VLOOKUP($A186,Düngemittel!$A$3:$M$510,7),0)</f>
        <v>0</v>
      </c>
      <c r="J186" s="237">
        <f>IF($A186&gt;0,VLOOKUP($A186,Düngemittel!$A$3:$S$510,10)*$C186,0)</f>
        <v>17.724707000000002</v>
      </c>
    </row>
    <row r="187" spans="1:18" ht="11.25" customHeight="1" x14ac:dyDescent="0.35">
      <c r="A187" s="27">
        <v>84</v>
      </c>
      <c r="B187" s="90" t="str">
        <f>IF($A187&gt;0,VLOOKUP($A187,Düngemittel!$A$3:$I$1362,2),"")</f>
        <v>Kohlensaurer Kalk 70+15</v>
      </c>
      <c r="C187" s="214">
        <v>2</v>
      </c>
      <c r="D187" s="54">
        <f>IF($A187&gt;0,$C187*VLOOKUP($A187,Düngemittel!$A$3:$M$510,3),0)</f>
        <v>0</v>
      </c>
      <c r="E187" s="54">
        <f>IF($A187&gt;0,$C187*VLOOKUP($A187,Düngemittel!$A$3:$M$510,4),0)</f>
        <v>0</v>
      </c>
      <c r="F187" s="54">
        <f>IF($A187&gt;0,$C187*VLOOKUP($A187,Düngemittel!$A$3:$M$510,5),0)</f>
        <v>0</v>
      </c>
      <c r="G187" s="54">
        <f>IF($A187&gt;0,$C187*VLOOKUP($A187,Düngemittel!$A$3:$M$510,6),0)</f>
        <v>14</v>
      </c>
      <c r="H187" s="54">
        <f>IF($A187&gt;0,$C187*VLOOKUP($A187,Düngemittel!$A$3:$M$510,8),0)</f>
        <v>98</v>
      </c>
      <c r="I187" s="55">
        <f>IF($A187&gt;0,$C187*VLOOKUP($A187,Düngemittel!$A$3:$M$510,7),0)</f>
        <v>0</v>
      </c>
      <c r="J187" s="308">
        <f>IF($A187&gt;0,VLOOKUP($A187,Düngemittel!$A$3:$S$510,10)*$C187,0)</f>
        <v>9.7200000000000006</v>
      </c>
    </row>
    <row r="188" spans="1:18" ht="11.25" customHeight="1" x14ac:dyDescent="0.35">
      <c r="A188" s="192"/>
      <c r="B188" s="52" t="s">
        <v>246</v>
      </c>
      <c r="C188" s="264">
        <f>SUM(C180:C187)</f>
        <v>15.173950000000001</v>
      </c>
      <c r="D188" s="57"/>
      <c r="E188" s="57"/>
      <c r="F188" s="57"/>
      <c r="G188" s="57"/>
      <c r="H188" s="57"/>
      <c r="I188" s="58"/>
      <c r="J188" s="60">
        <f>SUM(J180:J187)</f>
        <v>245.45115700000002</v>
      </c>
    </row>
    <row r="189" spans="1:18" ht="11.25" customHeight="1" x14ac:dyDescent="0.4">
      <c r="A189" s="224" t="s">
        <v>247</v>
      </c>
      <c r="B189" s="43"/>
      <c r="C189" s="129"/>
      <c r="D189" s="59">
        <f t="shared" ref="D189:I189" si="7">SUM(D180:D187)-E$24</f>
        <v>-0.2484800000000007</v>
      </c>
      <c r="E189" s="59">
        <f t="shared" si="7"/>
        <v>0.1031781870000188</v>
      </c>
      <c r="F189" s="59">
        <f t="shared" si="7"/>
        <v>-0.30568736800000096</v>
      </c>
      <c r="G189" s="59">
        <f t="shared" si="7"/>
        <v>-0.14273678800000056</v>
      </c>
      <c r="H189" s="59">
        <f t="shared" si="7"/>
        <v>0.21782152000005794</v>
      </c>
      <c r="I189" s="59">
        <f t="shared" si="7"/>
        <v>-0.48493579999999881</v>
      </c>
      <c r="J189" s="60"/>
      <c r="K189" s="61"/>
      <c r="L189" s="62"/>
      <c r="M189" s="62"/>
      <c r="R189" s="63"/>
    </row>
    <row r="190" spans="1:18" s="68" customFormat="1" ht="11.25" customHeight="1" x14ac:dyDescent="0.35">
      <c r="A190" s="64" t="s">
        <v>15</v>
      </c>
      <c r="B190" s="64" t="s">
        <v>248</v>
      </c>
      <c r="C190" s="105"/>
      <c r="D190" s="106"/>
      <c r="E190" s="67"/>
      <c r="F190" s="20" t="s">
        <v>250</v>
      </c>
      <c r="G190" s="19" t="s">
        <v>250</v>
      </c>
      <c r="H190" s="19" t="s">
        <v>251</v>
      </c>
      <c r="I190" s="19" t="s">
        <v>252</v>
      </c>
      <c r="J190" s="107"/>
      <c r="K190" s="69"/>
      <c r="L190" s="69"/>
      <c r="M190" s="69"/>
      <c r="R190" s="70"/>
    </row>
    <row r="191" spans="1:18" s="68" customFormat="1" ht="11.25" customHeight="1" x14ac:dyDescent="0.4">
      <c r="A191" s="71"/>
      <c r="B191" s="500"/>
      <c r="C191" s="108"/>
      <c r="D191" s="109"/>
      <c r="E191" s="74" t="s">
        <v>249</v>
      </c>
      <c r="F191" s="75" t="s">
        <v>249</v>
      </c>
      <c r="G191" s="23" t="s">
        <v>232</v>
      </c>
      <c r="H191" s="76" t="s">
        <v>254</v>
      </c>
      <c r="I191" s="23" t="s">
        <v>255</v>
      </c>
      <c r="J191" s="23"/>
      <c r="K191" s="69"/>
      <c r="L191" s="69"/>
      <c r="M191" s="69"/>
      <c r="R191" s="70"/>
    </row>
    <row r="192" spans="1:18" ht="11.25" customHeight="1" x14ac:dyDescent="0.4">
      <c r="A192" s="77">
        <v>107</v>
      </c>
      <c r="B192" s="78" t="str">
        <f>IF($A192&gt;0,VLOOKUP($A192,'Kosten Technik'!$A$2:$E$74,2),"")</f>
        <v>Düngung mit Kreiselstreuer, 24 m</v>
      </c>
      <c r="C192" s="78"/>
      <c r="D192" s="111"/>
      <c r="E192" s="51" t="str">
        <f>IF($A192&gt;0,VLOOKUP($A192,'Kosten Technik'!$A$2:$E$74,4),"")</f>
        <v>ha</v>
      </c>
      <c r="F192" s="79">
        <f>IF($A192&gt;0,VLOOKUP($A192,'Kosten Technik'!$A$2:$E$74,5),"")</f>
        <v>13.2</v>
      </c>
      <c r="G192" s="269">
        <f>+F192</f>
        <v>13.2</v>
      </c>
      <c r="H192" s="80">
        <v>3</v>
      </c>
      <c r="I192" s="81">
        <v>1</v>
      </c>
      <c r="J192" s="82">
        <f>+I192*H192*G192</f>
        <v>39.599999999999994</v>
      </c>
      <c r="K192" s="62"/>
      <c r="L192" s="62"/>
      <c r="M192" s="62"/>
      <c r="R192" s="63"/>
    </row>
    <row r="193" spans="1:21" ht="11.25" customHeight="1" x14ac:dyDescent="0.4">
      <c r="A193" s="83"/>
      <c r="B193" s="84" t="str">
        <f>IF($A193&gt;0,VLOOKUP($A193,'Kosten Technik'!$A$2:$E$74,2),"")</f>
        <v/>
      </c>
      <c r="C193" s="84"/>
      <c r="D193" s="84"/>
      <c r="E193" s="52" t="str">
        <f>IF($A193&gt;0,VLOOKUP($A193,'Kosten Technik'!$A$2:$E$74,4),"")</f>
        <v/>
      </c>
      <c r="F193" s="85" t="str">
        <f>IF($A193&gt;0,VLOOKUP($A193,'Kosten Technik'!$A$2:$E$74,5),"")</f>
        <v/>
      </c>
      <c r="G193" s="270" t="str">
        <f>+F193</f>
        <v/>
      </c>
      <c r="H193" s="86"/>
      <c r="I193" s="87"/>
      <c r="J193" s="82"/>
      <c r="K193" s="62"/>
      <c r="L193" s="62"/>
      <c r="M193" s="62"/>
      <c r="R193" s="63"/>
    </row>
    <row r="194" spans="1:21" ht="11.25" customHeight="1" x14ac:dyDescent="0.4">
      <c r="A194" s="83">
        <v>105</v>
      </c>
      <c r="B194" s="84" t="str">
        <f>IF($A194&gt;0,VLOOKUP($A194,'Kosten Technik'!$A$2:$E$74,2),"")</f>
        <v xml:space="preserve">Düngung mit Großbehälterstreuer </v>
      </c>
      <c r="C194" s="84"/>
      <c r="D194" s="84"/>
      <c r="E194" s="52" t="str">
        <f>IF($A194&gt;0,VLOOKUP($A194,'Kosten Technik'!$A$2:$E$74,4),"")</f>
        <v>dt</v>
      </c>
      <c r="F194" s="85">
        <f>IF($A194&gt;0,VLOOKUP($A194,'Kosten Technik'!$A$2:$E$74,5),"")</f>
        <v>3</v>
      </c>
      <c r="G194" s="270">
        <f>+F194</f>
        <v>3</v>
      </c>
      <c r="H194" s="86">
        <v>3.1</v>
      </c>
      <c r="I194" s="132">
        <v>1</v>
      </c>
      <c r="J194" s="93">
        <f>+I194*H194*G194</f>
        <v>9.3000000000000007</v>
      </c>
      <c r="K194" s="62"/>
      <c r="L194" s="62"/>
      <c r="M194" s="62"/>
      <c r="R194" s="63"/>
    </row>
    <row r="195" spans="1:21" ht="11.25" hidden="1" customHeight="1" x14ac:dyDescent="0.4">
      <c r="A195" s="83"/>
      <c r="B195" s="84" t="str">
        <f>IF($A195&gt;0,VLOOKUP($A195,'Kosten Technik'!$A$2:$E$74,2),"")</f>
        <v/>
      </c>
      <c r="C195" s="84"/>
      <c r="D195" s="84"/>
      <c r="E195" s="52" t="str">
        <f>IF($A195&gt;0,VLOOKUP($A195,'Kosten Technik'!$A$2:$E$74,4),"")</f>
        <v/>
      </c>
      <c r="F195" s="85" t="str">
        <f>IF($A195&gt;0,VLOOKUP($A195,'Kosten Technik'!$A$2:$E$74,5),"")</f>
        <v/>
      </c>
      <c r="G195" s="270"/>
      <c r="H195" s="86"/>
      <c r="I195" s="87"/>
      <c r="J195" s="82"/>
      <c r="K195" s="62"/>
      <c r="L195" s="62"/>
      <c r="M195" s="62"/>
      <c r="R195" s="63"/>
    </row>
    <row r="196" spans="1:21" ht="11.25" hidden="1" customHeight="1" x14ac:dyDescent="0.4">
      <c r="A196" s="83"/>
      <c r="B196" s="84" t="str">
        <f>IF($A196&gt;0,VLOOKUP($A196,'Kosten Technik'!$A$2:$E$74,2),"")</f>
        <v/>
      </c>
      <c r="C196" s="84"/>
      <c r="D196" s="84"/>
      <c r="E196" s="52" t="str">
        <f>IF($A196&gt;0,VLOOKUP($A196,'Kosten Technik'!$A$2:$E$74,4),"")</f>
        <v/>
      </c>
      <c r="F196" s="85" t="str">
        <f>IF($A196&gt;0,VLOOKUP($A196,'Kosten Technik'!$A$2:$E$74,5),"")</f>
        <v/>
      </c>
      <c r="G196" s="270"/>
      <c r="H196" s="86"/>
      <c r="I196" s="87"/>
      <c r="J196" s="82"/>
      <c r="K196" s="62"/>
      <c r="L196" s="62"/>
      <c r="M196" s="62"/>
      <c r="R196" s="63"/>
    </row>
    <row r="197" spans="1:21" ht="11.25" customHeight="1" x14ac:dyDescent="0.4">
      <c r="A197" s="83">
        <v>109</v>
      </c>
      <c r="B197" s="89" t="str">
        <f>IF($A197&gt;0,VLOOKUP($A197,'Kosten Technik'!$A$2:$E$74,2),"")</f>
        <v>Düngung kohls.Kalk im Lohnverfahren</v>
      </c>
      <c r="C197" s="89"/>
      <c r="D197" s="89"/>
      <c r="E197" s="52" t="str">
        <f>IF($A197&gt;0,VLOOKUP($A197,'Kosten Technik'!$A$2:$E$74,4),"")</f>
        <v>dt</v>
      </c>
      <c r="F197" s="85">
        <f>IF($A197&gt;0,VLOOKUP($A197,'Kosten Technik'!$A$2:$E$74,5),"")</f>
        <v>1</v>
      </c>
      <c r="G197" s="196">
        <f>+F197*C185+F197*C186+F197*C187</f>
        <v>8.1974499999999999</v>
      </c>
      <c r="H197" s="86">
        <v>1</v>
      </c>
      <c r="I197" s="132">
        <v>1</v>
      </c>
      <c r="J197" s="93">
        <f>+I197*H197*G197</f>
        <v>8.1974499999999999</v>
      </c>
      <c r="K197" s="62"/>
      <c r="L197" s="62"/>
      <c r="M197" s="62"/>
      <c r="R197" s="63"/>
      <c r="S197" s="63"/>
      <c r="T197" s="63"/>
      <c r="U197" s="63"/>
    </row>
    <row r="198" spans="1:21" ht="11.25" customHeight="1" x14ac:dyDescent="0.4">
      <c r="A198" s="265"/>
      <c r="B198" s="89" t="s">
        <v>261</v>
      </c>
      <c r="C198" s="89"/>
      <c r="D198" s="89"/>
      <c r="E198" s="90"/>
      <c r="F198" s="91"/>
      <c r="G198" s="92"/>
      <c r="H198" s="266"/>
      <c r="I198" s="267"/>
      <c r="J198" s="93">
        <f>SUM(J191:J197)</f>
        <v>57.097449999999995</v>
      </c>
      <c r="K198" s="62"/>
      <c r="L198" s="62"/>
      <c r="M198" s="62"/>
      <c r="R198" s="63"/>
      <c r="S198" s="63"/>
      <c r="T198" s="63"/>
      <c r="U198" s="63"/>
    </row>
    <row r="199" spans="1:21" ht="11.25" customHeight="1" x14ac:dyDescent="0.4">
      <c r="A199" s="64" t="s">
        <v>15</v>
      </c>
      <c r="B199" s="142" t="s">
        <v>263</v>
      </c>
      <c r="C199" s="65"/>
      <c r="D199" s="66"/>
      <c r="E199" s="67" t="s">
        <v>249</v>
      </c>
      <c r="F199" s="19" t="s">
        <v>250</v>
      </c>
      <c r="G199" s="19" t="s">
        <v>250</v>
      </c>
      <c r="H199" s="19" t="s">
        <v>264</v>
      </c>
      <c r="I199" s="19" t="s">
        <v>252</v>
      </c>
      <c r="J199" s="56"/>
      <c r="K199" s="62"/>
      <c r="L199" s="62"/>
      <c r="M199" s="62"/>
      <c r="R199" s="63"/>
      <c r="S199" s="63"/>
      <c r="T199" s="63"/>
      <c r="U199" s="63"/>
    </row>
    <row r="200" spans="1:21" ht="11.25" customHeight="1" x14ac:dyDescent="0.4">
      <c r="A200" s="71"/>
      <c r="B200" s="71"/>
      <c r="C200" s="72"/>
      <c r="D200" s="73"/>
      <c r="E200" s="74"/>
      <c r="F200" s="146" t="s">
        <v>249</v>
      </c>
      <c r="G200" s="23" t="s">
        <v>232</v>
      </c>
      <c r="H200" s="23"/>
      <c r="I200" s="23" t="s">
        <v>255</v>
      </c>
      <c r="J200" s="23"/>
      <c r="K200" s="62"/>
      <c r="L200" s="62"/>
      <c r="M200" s="62"/>
      <c r="R200" s="63"/>
      <c r="S200" s="63"/>
      <c r="T200" s="63"/>
      <c r="U200" s="63"/>
    </row>
    <row r="201" spans="1:21" ht="11.25" customHeight="1" x14ac:dyDescent="0.4">
      <c r="A201" s="83"/>
      <c r="B201" s="143" t="str">
        <f>IF($A201&gt;0,VLOOKUP($A201,'Kosten Technik'!$A$2:$E$74,2),"")</f>
        <v/>
      </c>
      <c r="C201" s="65"/>
      <c r="D201" s="66"/>
      <c r="E201" s="52" t="str">
        <f>IF($A201&gt;0,VLOOKUP($A201,'Kosten Technik'!$A$2:$E$74,4),"")</f>
        <v/>
      </c>
      <c r="F201" s="85" t="str">
        <f>IF($A201&gt;0,VLOOKUP($A201,'Kosten Technik'!$A$2:$E$74,5),"")</f>
        <v/>
      </c>
      <c r="G201" s="271"/>
      <c r="H201" s="226"/>
      <c r="I201" s="87"/>
      <c r="J201" s="82"/>
      <c r="K201" s="62"/>
      <c r="L201" s="62"/>
      <c r="M201" s="62"/>
      <c r="R201" s="63"/>
      <c r="S201" s="63"/>
      <c r="T201" s="63"/>
      <c r="U201" s="63"/>
    </row>
    <row r="202" spans="1:21" ht="11.25" customHeight="1" x14ac:dyDescent="0.4">
      <c r="A202" s="83">
        <v>123</v>
      </c>
      <c r="B202" s="94" t="str">
        <f>IF($A202&gt;0,VLOOKUP($A202,'Kosten Technik'!$A$2:$E$74,2),"")</f>
        <v>Mineraldüngerlager, hofeigen</v>
      </c>
      <c r="C202" s="89"/>
      <c r="D202" s="144"/>
      <c r="E202" s="52" t="str">
        <f>IF($A202&gt;0,VLOOKUP($A202,'Kosten Technik'!$A$2:$E$74,4),"")</f>
        <v>dt</v>
      </c>
      <c r="F202" s="85">
        <f>IF($A202&gt;0,VLOOKUP($A202,'Kosten Technik'!$A$2:$E$74,5),"")</f>
        <v>1</v>
      </c>
      <c r="G202" s="271"/>
      <c r="H202" s="226">
        <f>C188-C185-C186-C187</f>
        <v>6.9765000000000015</v>
      </c>
      <c r="I202" s="87">
        <v>1</v>
      </c>
      <c r="J202" s="93">
        <f>+I202*F202*H202</f>
        <v>6.9765000000000015</v>
      </c>
      <c r="K202" s="62"/>
      <c r="L202" s="62"/>
      <c r="M202" s="62"/>
      <c r="R202" s="63"/>
      <c r="S202" s="63"/>
      <c r="T202" s="63"/>
      <c r="U202" s="63"/>
    </row>
    <row r="203" spans="1:21" ht="11.25" customHeight="1" x14ac:dyDescent="0.4">
      <c r="A203" s="265"/>
      <c r="B203" s="89" t="s">
        <v>265</v>
      </c>
      <c r="C203" s="89"/>
      <c r="D203" s="89"/>
      <c r="E203" s="52"/>
      <c r="F203" s="85"/>
      <c r="G203" s="145"/>
      <c r="H203" s="268"/>
      <c r="I203" s="267"/>
      <c r="J203" s="93">
        <f>SUM(J201:J202)</f>
        <v>6.9765000000000015</v>
      </c>
      <c r="K203" s="62"/>
      <c r="L203" s="62"/>
      <c r="M203" s="62"/>
      <c r="R203" s="63"/>
      <c r="S203" s="63"/>
      <c r="T203" s="63"/>
      <c r="U203" s="63"/>
    </row>
    <row r="204" spans="1:21" ht="11.25" customHeight="1" x14ac:dyDescent="0.4">
      <c r="A204" s="64" t="s">
        <v>15</v>
      </c>
      <c r="B204" s="496" t="s">
        <v>266</v>
      </c>
      <c r="C204" s="65"/>
      <c r="D204" s="66"/>
      <c r="E204" s="67" t="s">
        <v>249</v>
      </c>
      <c r="F204" s="19" t="s">
        <v>250</v>
      </c>
      <c r="G204" s="19" t="s">
        <v>250</v>
      </c>
      <c r="H204" s="19" t="s">
        <v>264</v>
      </c>
      <c r="I204" s="19" t="s">
        <v>252</v>
      </c>
      <c r="J204" s="56"/>
      <c r="K204" s="100"/>
      <c r="L204" s="63"/>
      <c r="M204" s="63"/>
      <c r="R204" s="47"/>
      <c r="S204" s="99"/>
    </row>
    <row r="205" spans="1:21" ht="11.25" customHeight="1" x14ac:dyDescent="0.4">
      <c r="A205" s="71"/>
      <c r="B205" s="71"/>
      <c r="C205" s="72"/>
      <c r="D205" s="73"/>
      <c r="E205" s="74"/>
      <c r="F205" s="146" t="s">
        <v>249</v>
      </c>
      <c r="G205" s="23" t="s">
        <v>232</v>
      </c>
      <c r="H205" s="23"/>
      <c r="I205" s="23" t="s">
        <v>255</v>
      </c>
      <c r="J205" s="23"/>
      <c r="K205" s="100"/>
      <c r="L205" s="63"/>
      <c r="M205" s="63"/>
      <c r="R205" s="47"/>
      <c r="S205" s="99"/>
    </row>
    <row r="206" spans="1:21" ht="11.25" customHeight="1" x14ac:dyDescent="0.4">
      <c r="A206" s="77">
        <v>141</v>
      </c>
      <c r="B206" s="143" t="str">
        <f>IF($A206&gt;0,VLOOKUP($A206,'Kosten Technik'!$A$2:$E$74,2),"")</f>
        <v>LKW-Lieferung unter 100 km</v>
      </c>
      <c r="C206" s="78"/>
      <c r="D206" s="111"/>
      <c r="E206" s="51" t="str">
        <f>IF($A206&gt;0,VLOOKUP($A206,'Kosten Technik'!$A$2:$E$74,4),"")</f>
        <v>dt</v>
      </c>
      <c r="F206" s="79">
        <f>IF($A206&gt;0,VLOOKUP($A206,'Kosten Technik'!$A$2:$E$74,5),0)</f>
        <v>0.9</v>
      </c>
      <c r="G206" s="196"/>
      <c r="H206" s="225">
        <f>SUM(C180:C184)</f>
        <v>6.9765000000000006</v>
      </c>
      <c r="I206" s="81">
        <v>1</v>
      </c>
      <c r="J206" s="112">
        <f>+I206*F206*H206</f>
        <v>6.2788500000000003</v>
      </c>
      <c r="K206" s="100"/>
      <c r="L206" s="63"/>
      <c r="M206" s="63"/>
      <c r="R206" s="47"/>
      <c r="S206" s="99"/>
    </row>
    <row r="207" spans="1:21" ht="11.25" customHeight="1" x14ac:dyDescent="0.4">
      <c r="A207" s="83">
        <v>141</v>
      </c>
      <c r="B207" s="94" t="str">
        <f>IF($A207&gt;0,VLOOKUP($A207,'Kosten Technik'!$A$2:$E$74,2),"")</f>
        <v>LKW-Lieferung unter 100 km</v>
      </c>
      <c r="C207" s="89"/>
      <c r="D207" s="144"/>
      <c r="E207" s="52" t="str">
        <f>IF($A207&gt;0,VLOOKUP($A207,'Kosten Technik'!$A$2:$E$74,4),"")</f>
        <v>dt</v>
      </c>
      <c r="F207" s="85">
        <f>IF($A207&gt;0,VLOOKUP($A207,'Kosten Technik'!$A$2:$E$74,5),0)</f>
        <v>0.9</v>
      </c>
      <c r="G207" s="196"/>
      <c r="H207" s="226">
        <f>SUM(C185:C187)</f>
        <v>8.1974499999999999</v>
      </c>
      <c r="I207" s="87">
        <v>1</v>
      </c>
      <c r="J207" s="93">
        <f>+I207*F207*H207</f>
        <v>7.3777049999999997</v>
      </c>
      <c r="K207" s="100"/>
      <c r="L207" s="63"/>
      <c r="M207" s="63"/>
      <c r="R207" s="47"/>
      <c r="S207" s="99"/>
    </row>
    <row r="208" spans="1:21" ht="11.25" customHeight="1" x14ac:dyDescent="0.4">
      <c r="A208" s="265"/>
      <c r="B208" s="260" t="s">
        <v>267</v>
      </c>
      <c r="C208" s="89"/>
      <c r="D208" s="89"/>
      <c r="E208" s="52"/>
      <c r="F208" s="85"/>
      <c r="G208" s="145"/>
      <c r="H208" s="268"/>
      <c r="I208" s="267"/>
      <c r="J208" s="93">
        <f>SUM(J206:J207)</f>
        <v>13.656555000000001</v>
      </c>
      <c r="K208" s="100"/>
      <c r="L208" s="63"/>
      <c r="M208" s="63"/>
      <c r="R208" s="47"/>
      <c r="S208" s="99"/>
    </row>
    <row r="209" spans="1:19" ht="11.25" customHeight="1" x14ac:dyDescent="0.4">
      <c r="A209" s="143"/>
      <c r="B209" s="331" t="s">
        <v>268</v>
      </c>
      <c r="C209" s="332"/>
      <c r="D209" s="332"/>
      <c r="E209" s="333"/>
      <c r="F209" s="333"/>
      <c r="G209" s="332"/>
      <c r="H209" s="332"/>
      <c r="I209" s="334"/>
      <c r="J209" s="335">
        <f>J188+J198+J203+J208</f>
        <v>323.18166200000002</v>
      </c>
      <c r="K209" s="100"/>
      <c r="L209" s="63"/>
      <c r="M209" s="63"/>
      <c r="R209" s="47"/>
      <c r="S209" s="99"/>
    </row>
    <row r="210" spans="1:19" ht="11.25" customHeight="1" x14ac:dyDescent="0.4">
      <c r="A210" s="337"/>
      <c r="B210" s="338"/>
      <c r="C210" s="339"/>
      <c r="D210" s="339"/>
      <c r="E210" s="340"/>
      <c r="F210" s="340"/>
      <c r="G210" s="339"/>
      <c r="H210" s="339"/>
      <c r="I210" s="341"/>
      <c r="J210" s="342"/>
      <c r="K210" s="100"/>
      <c r="L210" s="63"/>
      <c r="M210" s="63"/>
      <c r="R210" s="47"/>
      <c r="S210" s="99"/>
    </row>
    <row r="211" spans="1:19" ht="11.25" customHeight="1" x14ac:dyDescent="0.4">
      <c r="A211" s="135"/>
      <c r="B211" s="136"/>
      <c r="C211" s="137"/>
      <c r="D211" s="137"/>
      <c r="E211" s="138"/>
      <c r="F211" s="138"/>
      <c r="G211" s="137"/>
      <c r="H211" s="137"/>
      <c r="I211" s="139"/>
      <c r="J211" s="140"/>
      <c r="K211" s="100"/>
      <c r="L211" s="63"/>
      <c r="M211" s="63"/>
      <c r="R211" s="47"/>
      <c r="S211" s="99"/>
    </row>
    <row r="212" spans="1:19" ht="11.25" customHeight="1" x14ac:dyDescent="0.4">
      <c r="A212" s="135"/>
      <c r="B212" s="136"/>
      <c r="C212" s="137"/>
      <c r="D212" s="137"/>
      <c r="E212" s="138"/>
      <c r="F212" s="138"/>
      <c r="G212" s="137"/>
      <c r="H212" s="137"/>
      <c r="I212" s="139"/>
      <c r="J212" s="140"/>
      <c r="K212" s="100"/>
      <c r="L212" s="63"/>
      <c r="M212" s="63"/>
      <c r="R212" s="47"/>
      <c r="S212" s="99"/>
    </row>
    <row r="213" spans="1:19" ht="11.25" customHeight="1" x14ac:dyDescent="0.4">
      <c r="A213" s="343"/>
      <c r="B213" s="344"/>
      <c r="C213" s="257"/>
      <c r="D213" s="257"/>
      <c r="E213" s="345"/>
      <c r="F213" s="345"/>
      <c r="G213" s="257"/>
      <c r="H213" s="257"/>
      <c r="I213" s="346"/>
      <c r="J213" s="347"/>
      <c r="K213" s="100"/>
      <c r="L213" s="63"/>
      <c r="M213" s="63"/>
      <c r="R213" s="47"/>
      <c r="S213" s="99"/>
    </row>
    <row r="214" spans="1:19" ht="12.3" x14ac:dyDescent="0.4">
      <c r="A214" s="504" t="s">
        <v>276</v>
      </c>
      <c r="B214" s="506" t="s">
        <v>277</v>
      </c>
      <c r="C214" s="336"/>
      <c r="D214" s="514"/>
      <c r="E214" s="514"/>
      <c r="F214" s="348"/>
      <c r="G214" s="348"/>
      <c r="H214" s="348"/>
      <c r="I214" s="348"/>
      <c r="J214" s="349"/>
      <c r="K214" s="100"/>
      <c r="L214" s="63"/>
      <c r="M214" s="63"/>
      <c r="R214" s="47"/>
      <c r="S214" s="99"/>
    </row>
    <row r="215" spans="1:19" ht="11.25" customHeight="1" x14ac:dyDescent="0.4">
      <c r="A215" s="18" t="s">
        <v>15</v>
      </c>
      <c r="B215" s="19" t="s">
        <v>81</v>
      </c>
      <c r="C215" s="19" t="s">
        <v>243</v>
      </c>
      <c r="D215" s="19" t="s">
        <v>22</v>
      </c>
      <c r="E215" s="20" t="s">
        <v>71</v>
      </c>
      <c r="F215" s="19" t="s">
        <v>74</v>
      </c>
      <c r="G215" s="20" t="s">
        <v>23</v>
      </c>
      <c r="H215" s="19" t="s">
        <v>25</v>
      </c>
      <c r="I215" s="19" t="s">
        <v>24</v>
      </c>
      <c r="J215" s="19" t="s">
        <v>244</v>
      </c>
      <c r="K215" s="100"/>
      <c r="L215" s="63"/>
      <c r="M215" s="63"/>
      <c r="R215" s="47"/>
      <c r="S215" s="99"/>
    </row>
    <row r="216" spans="1:19" ht="11.25" customHeight="1" x14ac:dyDescent="0.4">
      <c r="A216" s="48"/>
      <c r="B216" s="103"/>
      <c r="C216" s="24" t="s">
        <v>233</v>
      </c>
      <c r="D216" s="24" t="s">
        <v>234</v>
      </c>
      <c r="E216" s="49" t="s">
        <v>234</v>
      </c>
      <c r="F216" s="50" t="s">
        <v>234</v>
      </c>
      <c r="G216" s="49" t="s">
        <v>234</v>
      </c>
      <c r="H216" s="50" t="s">
        <v>234</v>
      </c>
      <c r="I216" s="50" t="s">
        <v>234</v>
      </c>
      <c r="J216" s="24" t="s">
        <v>245</v>
      </c>
      <c r="K216" s="100"/>
      <c r="L216" s="63"/>
      <c r="M216" s="63"/>
      <c r="R216" s="47"/>
      <c r="S216" s="99"/>
    </row>
    <row r="217" spans="1:19" ht="11.25" customHeight="1" x14ac:dyDescent="0.4">
      <c r="A217" s="77">
        <v>42</v>
      </c>
      <c r="B217" s="52" t="str">
        <f>IF($A217&gt;0,VLOOKUP($A217,Düngemittel!$A$3:$I$510,2),"")</f>
        <v>NPK 6,5+16,5+25,6+3,8+2,6</v>
      </c>
      <c r="C217" s="231">
        <v>2.4500000000000002</v>
      </c>
      <c r="D217" s="54">
        <f>IF($A217&gt;0,$C217*VLOOKUP($A217,Düngemittel!$A$3:$M$510,3),0)</f>
        <v>15.925000000000001</v>
      </c>
      <c r="E217" s="54">
        <f>IF($A217&gt;0,$C217*VLOOKUP($A217,Düngemittel!$A$3:$M$510,4),0)</f>
        <v>40.425000000000004</v>
      </c>
      <c r="F217" s="54">
        <f>IF($A217&gt;0,$C217*VLOOKUP($A217,Düngemittel!$A$3:$M$510,5),0)</f>
        <v>62.720000000000006</v>
      </c>
      <c r="G217" s="54">
        <f>IF($A217&gt;0,$C217*VLOOKUP($A217,Düngemittel!$A$3:$M$510,6),0)</f>
        <v>9.31</v>
      </c>
      <c r="H217" s="54">
        <f>IF($A217&gt;0,$C217*VLOOKUP($A217,Düngemittel!$A$3:$M$510,8),0)</f>
        <v>-19.600000000000001</v>
      </c>
      <c r="I217" s="55">
        <f>IF($A217&gt;0,$C217*VLOOKUP($A217,Düngemittel!$A$3:$M$510,7),0)</f>
        <v>6.370000000000001</v>
      </c>
      <c r="J217" s="237">
        <f>IF($A217&gt;0,VLOOKUP($A217,Düngemittel!$A$3:$S$510,10)*$C217,0)</f>
        <v>68.355000000000004</v>
      </c>
      <c r="K217" s="100"/>
      <c r="L217" s="63"/>
      <c r="M217" s="63"/>
      <c r="R217" s="47"/>
      <c r="S217" s="99"/>
    </row>
    <row r="218" spans="1:19" ht="11.25" customHeight="1" x14ac:dyDescent="0.4">
      <c r="A218" s="83">
        <v>4</v>
      </c>
      <c r="B218" s="52" t="str">
        <f>IF($A218&gt;0,VLOOKUP($A218,Düngemittel!$A$3:$I$1362,2),"")</f>
        <v>Harnstoff geprillt</v>
      </c>
      <c r="C218" s="316">
        <v>3.45</v>
      </c>
      <c r="D218" s="54">
        <f>IF($A218&gt;0,$C218*VLOOKUP($A218,Düngemittel!$A$3:$M$510,3),0)</f>
        <v>158.70000000000002</v>
      </c>
      <c r="E218" s="54">
        <f>IF($A218&gt;0,$C218*VLOOKUP($A218,Düngemittel!$A$3:$M$510,4),0)</f>
        <v>0</v>
      </c>
      <c r="F218" s="54">
        <f>IF($A218&gt;0,$C218*VLOOKUP($A218,Düngemittel!$A$3:$M$510,5),0)</f>
        <v>0</v>
      </c>
      <c r="G218" s="54">
        <f>IF($A218&gt;0,$C218*VLOOKUP($A218,Düngemittel!$A$3:$M$510,6),0)</f>
        <v>0</v>
      </c>
      <c r="H218" s="54">
        <f>IF($A218&gt;0,$C218*VLOOKUP($A218,Düngemittel!$A$3:$M$510,8),0)</f>
        <v>-158.70000000000002</v>
      </c>
      <c r="I218" s="55">
        <f>IF($A218&gt;0,$C218*VLOOKUP($A218,Düngemittel!$A$3:$M$510,7),0)</f>
        <v>0</v>
      </c>
      <c r="J218" s="237">
        <f>IF($A218&gt;0,VLOOKUP($A218,Düngemittel!$A$3:$S$510,10)*$C218,0)</f>
        <v>109.71000000000001</v>
      </c>
      <c r="K218" s="100"/>
      <c r="L218" s="63"/>
      <c r="M218" s="63"/>
      <c r="R218" s="47"/>
      <c r="S218" s="99"/>
    </row>
    <row r="219" spans="1:19" ht="11.25" customHeight="1" x14ac:dyDescent="0.4">
      <c r="A219" s="83">
        <v>45</v>
      </c>
      <c r="B219" s="52" t="str">
        <f>IF($A219&gt;0,VLOOKUP($A219,Düngemittel!$A$3:$I$1362,2),"")</f>
        <v>Triple-Phosphat, 46 % P2O5</v>
      </c>
      <c r="C219" s="53">
        <v>0.25</v>
      </c>
      <c r="D219" s="54">
        <f>IF($A219&gt;0,$C219*VLOOKUP($A219,Düngemittel!$A$3:$M$510,3),0)</f>
        <v>0</v>
      </c>
      <c r="E219" s="54">
        <f>IF($A219&gt;0,$C219*VLOOKUP($A219,Düngemittel!$A$3:$M$510,4),0)</f>
        <v>11.25</v>
      </c>
      <c r="F219" s="54">
        <f>IF($A219&gt;0,$C219*VLOOKUP($A219,Düngemittel!$A$3:$M$510,5),0)</f>
        <v>0</v>
      </c>
      <c r="G219" s="54">
        <f>IF($A219&gt;0,$C219*VLOOKUP($A219,Düngemittel!$A$3:$M$510,6),0)</f>
        <v>0</v>
      </c>
      <c r="H219" s="54">
        <f>IF($A219&gt;0,$C219*VLOOKUP($A219,Düngemittel!$A$3:$M$510,8),0)</f>
        <v>-0.75</v>
      </c>
      <c r="I219" s="55">
        <f>IF($A219&gt;0,$C219*VLOOKUP($A219,Düngemittel!$A$3:$M$510,7),0)</f>
        <v>0</v>
      </c>
      <c r="J219" s="237">
        <f>IF($A219&gt;0,VLOOKUP($A219,Düngemittel!$A$3:$S$510,10)*$C219,0)</f>
        <v>9.65</v>
      </c>
      <c r="K219" s="100"/>
      <c r="L219" s="63"/>
      <c r="M219" s="63"/>
      <c r="R219" s="47"/>
      <c r="S219" s="99"/>
    </row>
    <row r="220" spans="1:19" ht="11.25" customHeight="1" x14ac:dyDescent="0.4">
      <c r="A220" s="83">
        <v>50</v>
      </c>
      <c r="B220" s="52" t="str">
        <f>IF($A220&gt;0,VLOOKUP($A220,Düngemittel!$A$3:$I$1362,2),"")</f>
        <v>60er Kali</v>
      </c>
      <c r="C220" s="53"/>
      <c r="D220" s="54">
        <f>IF($A220&gt;0,$C220*VLOOKUP($A220,Düngemittel!$A$3:$M$510,3),0)</f>
        <v>0</v>
      </c>
      <c r="E220" s="54">
        <f>IF($A220&gt;0,$C220*VLOOKUP($A220,Düngemittel!$A$3:$M$510,4),0)</f>
        <v>0</v>
      </c>
      <c r="F220" s="54">
        <f>IF($A220&gt;0,$C220*VLOOKUP($A220,Düngemittel!$A$3:$M$510,5),0)</f>
        <v>0</v>
      </c>
      <c r="G220" s="54">
        <f>IF($A220&gt;0,$C220*VLOOKUP($A220,Düngemittel!$A$3:$M$510,6),0)</f>
        <v>0</v>
      </c>
      <c r="H220" s="54">
        <f>IF($A220&gt;0,$C220*VLOOKUP($A220,Düngemittel!$A$3:$M$510,8),0)</f>
        <v>0</v>
      </c>
      <c r="I220" s="55">
        <f>IF($A220&gt;0,$C220*VLOOKUP($A220,Düngemittel!$A$3:$M$510,7),0)</f>
        <v>0</v>
      </c>
      <c r="J220" s="237">
        <f>IF($A220&gt;0,VLOOKUP($A220,Düngemittel!$A$3:$S$510,10)*$C220,0)</f>
        <v>0</v>
      </c>
      <c r="K220" s="100"/>
      <c r="L220" s="63"/>
      <c r="M220" s="63"/>
      <c r="R220" s="47"/>
      <c r="S220" s="99"/>
    </row>
    <row r="221" spans="1:19" ht="11.25" customHeight="1" x14ac:dyDescent="0.4">
      <c r="A221" s="83">
        <v>9</v>
      </c>
      <c r="B221" s="52" t="str">
        <f>IF($A221&gt;0,VLOOKUP($A221,Düngemittel!$A$3:$I$1362,2),"")</f>
        <v>Schwefelsaures Amoniak 21% N + 24% S,</v>
      </c>
      <c r="C221" s="53"/>
      <c r="D221" s="54">
        <f>IF($A221&gt;0,$C221*VLOOKUP($A221,Düngemittel!$A$3:$M$510,3),0)</f>
        <v>0</v>
      </c>
      <c r="E221" s="54">
        <f>IF($A221&gt;0,$C221*VLOOKUP($A221,Düngemittel!$A$3:$M$510,4),0)</f>
        <v>0</v>
      </c>
      <c r="F221" s="54">
        <f>IF($A221&gt;0,$C221*VLOOKUP($A221,Düngemittel!$A$3:$M$510,5),0)</f>
        <v>0</v>
      </c>
      <c r="G221" s="54">
        <f>IF($A221&gt;0,$C221*VLOOKUP($A221,Düngemittel!$A$3:$M$510,6),0)</f>
        <v>0</v>
      </c>
      <c r="H221" s="54">
        <f>IF($A221&gt;0,$C221*VLOOKUP($A221,Düngemittel!$A$3:$M$510,8),0)</f>
        <v>0</v>
      </c>
      <c r="I221" s="55">
        <f>IF($A221&gt;0,$C221*VLOOKUP($A221,Düngemittel!$A$3:$M$510,7),0)</f>
        <v>0</v>
      </c>
      <c r="J221" s="237">
        <f>IF($A221&gt;0,VLOOKUP($A221,Düngemittel!$A$3:$S$510,10)*$C221,0)</f>
        <v>0</v>
      </c>
      <c r="K221" s="100"/>
      <c r="L221" s="63"/>
      <c r="M221" s="63"/>
      <c r="R221" s="47"/>
      <c r="S221" s="99"/>
    </row>
    <row r="222" spans="1:19" ht="11.25" customHeight="1" x14ac:dyDescent="0.4">
      <c r="A222" s="83">
        <v>104</v>
      </c>
      <c r="B222" s="52" t="str">
        <f>IF($A222&gt;0,VLOOKUP($A222,Düngemittel!$A$3:$I$1362,2),"")</f>
        <v>Schwefel</v>
      </c>
      <c r="C222" s="53">
        <v>0.15</v>
      </c>
      <c r="D222" s="54">
        <f>IF($A222&gt;0,$C222*VLOOKUP($A222,Düngemittel!$A$3:$M$510,3),0)</f>
        <v>0</v>
      </c>
      <c r="E222" s="54">
        <f>IF($A222&gt;0,$C222*VLOOKUP($A222,Düngemittel!$A$3:$M$510,4),0)</f>
        <v>0</v>
      </c>
      <c r="F222" s="54">
        <f>IF($A222&gt;0,$C222*VLOOKUP($A222,Düngemittel!$A$3:$M$510,5),0)</f>
        <v>0</v>
      </c>
      <c r="G222" s="54">
        <f>IF($A222&gt;0,$C222*VLOOKUP($A222,Düngemittel!$A$3:$M$510,6),0)</f>
        <v>0</v>
      </c>
      <c r="H222" s="54">
        <f>IF($A222&gt;0,$C222*VLOOKUP($A222,Düngemittel!$A$3:$M$510,8),0)</f>
        <v>0</v>
      </c>
      <c r="I222" s="55">
        <f>IF($A222&gt;0,$C222*VLOOKUP($A222,Düngemittel!$A$3:$M$510,7),0)</f>
        <v>15</v>
      </c>
      <c r="J222" s="237">
        <f>IF($A222&gt;0,VLOOKUP($A222,Düngemittel!$A$3:$S$510,10)*$C222,0)</f>
        <v>5.25</v>
      </c>
      <c r="K222" s="100"/>
      <c r="L222" s="63"/>
      <c r="M222" s="63"/>
      <c r="R222" s="47"/>
      <c r="S222" s="99"/>
    </row>
    <row r="223" spans="1:19" ht="11.25" customHeight="1" x14ac:dyDescent="0.4">
      <c r="A223" s="83">
        <v>81</v>
      </c>
      <c r="B223" s="52" t="str">
        <f>IF($A223&gt;0,VLOOKUP($A223,Düngemittel!$A$3:$I$1362,2),"")</f>
        <v>Kohlensaurer Kalk 85</v>
      </c>
      <c r="C223" s="53">
        <v>7.53</v>
      </c>
      <c r="D223" s="54">
        <f>IF($A223&gt;0,$C223*VLOOKUP($A223,Düngemittel!$A$3:$M$510,3),0)</f>
        <v>0</v>
      </c>
      <c r="E223" s="54">
        <f>IF($A223&gt;0,$C223*VLOOKUP($A223,Düngemittel!$A$3:$M$510,4),0)</f>
        <v>0</v>
      </c>
      <c r="F223" s="54">
        <f>IF($A223&gt;0,$C223*VLOOKUP($A223,Düngemittel!$A$3:$M$510,5),0)</f>
        <v>0</v>
      </c>
      <c r="G223" s="54">
        <f>IF($A223&gt;0,$C223*VLOOKUP($A223,Düngemittel!$A$3:$M$510,6),0)</f>
        <v>0</v>
      </c>
      <c r="H223" s="54">
        <f>IF($A223&gt;0,$C223*VLOOKUP($A223,Düngemittel!$A$3:$M$510,8),0)</f>
        <v>361.44</v>
      </c>
      <c r="I223" s="55">
        <f>IF($A223&gt;0,$C223*VLOOKUP($A223,Düngemittel!$A$3:$M$510,7),0)</f>
        <v>0</v>
      </c>
      <c r="J223" s="237">
        <f>IF($A223&gt;0,VLOOKUP($A223,Düngemittel!$A$3:$S$510,10)*$C223,0)</f>
        <v>20.7075</v>
      </c>
      <c r="K223" s="100"/>
      <c r="L223" s="63"/>
      <c r="M223" s="63"/>
      <c r="R223" s="47"/>
      <c r="S223" s="99"/>
    </row>
    <row r="224" spans="1:19" ht="11.25" customHeight="1" x14ac:dyDescent="0.4">
      <c r="A224" s="27">
        <v>98</v>
      </c>
      <c r="B224" s="90" t="str">
        <f>IF($A224&gt;0,VLOOKUP($A224,Düngemittel!$A$3:$I$1362,2),"")</f>
        <v>Fastlime</v>
      </c>
      <c r="C224" s="214">
        <v>0.85</v>
      </c>
      <c r="D224" s="54">
        <f>IF($A224&gt;0,$C224*VLOOKUP($A224,Düngemittel!$A$3:$M$510,3),0)</f>
        <v>0</v>
      </c>
      <c r="E224" s="54">
        <f>IF($A224&gt;0,$C224*VLOOKUP($A224,Düngemittel!$A$3:$M$510,4),0)</f>
        <v>0</v>
      </c>
      <c r="F224" s="54">
        <f>IF($A224&gt;0,$C224*VLOOKUP($A224,Düngemittel!$A$3:$M$510,5),0)</f>
        <v>0</v>
      </c>
      <c r="G224" s="54">
        <f>IF($A224&gt;0,$C224*VLOOKUP($A224,Düngemittel!$A$3:$M$510,6),0)</f>
        <v>17</v>
      </c>
      <c r="H224" s="54">
        <f>IF($A224&gt;0,$C224*VLOOKUP($A224,Düngemittel!$A$3:$M$510,8),0)</f>
        <v>29.75</v>
      </c>
      <c r="I224" s="55">
        <f>IF($A224&gt;0,$C224*VLOOKUP($A224,Düngemittel!$A$3:$M$510,7),0)</f>
        <v>0</v>
      </c>
      <c r="J224" s="308">
        <f>IF($A224&gt;0,VLOOKUP($A224,Düngemittel!$A$3:$S$510,10)*$C224,0)</f>
        <v>3.4595000000000002</v>
      </c>
      <c r="K224" s="100"/>
      <c r="L224" s="63"/>
      <c r="M224" s="63"/>
      <c r="R224" s="47"/>
      <c r="S224" s="99"/>
    </row>
    <row r="225" spans="1:19" ht="11.25" customHeight="1" x14ac:dyDescent="0.4">
      <c r="A225" s="192"/>
      <c r="B225" s="52" t="s">
        <v>246</v>
      </c>
      <c r="C225" s="264">
        <f>SUM(C217:C224)</f>
        <v>14.680000000000001</v>
      </c>
      <c r="D225" s="57"/>
      <c r="E225" s="57"/>
      <c r="F225" s="57"/>
      <c r="G225" s="57"/>
      <c r="H225" s="57"/>
      <c r="I225" s="58"/>
      <c r="J225" s="60">
        <f>SUM(J217:J224)</f>
        <v>217.13200000000001</v>
      </c>
      <c r="K225" s="100"/>
      <c r="L225" s="63"/>
      <c r="M225" s="63"/>
      <c r="R225" s="47"/>
      <c r="S225" s="99"/>
    </row>
    <row r="226" spans="1:19" ht="11.25" customHeight="1" x14ac:dyDescent="0.4">
      <c r="A226" s="224" t="s">
        <v>247</v>
      </c>
      <c r="B226" s="43"/>
      <c r="C226" s="129"/>
      <c r="D226" s="59">
        <f t="shared" ref="D226:I226" si="8">SUM(D217:D224)-E$24</f>
        <v>0.32752000000002113</v>
      </c>
      <c r="E226" s="59">
        <f t="shared" si="8"/>
        <v>-0.13682181299998319</v>
      </c>
      <c r="F226" s="59">
        <f t="shared" si="8"/>
        <v>-0.37568736799999414</v>
      </c>
      <c r="G226" s="59">
        <f t="shared" si="8"/>
        <v>-0.22763678799999809</v>
      </c>
      <c r="H226" s="59">
        <f t="shared" si="8"/>
        <v>-0.41577848000000017</v>
      </c>
      <c r="I226" s="59">
        <f t="shared" si="8"/>
        <v>0.1850642000000029</v>
      </c>
      <c r="J226" s="60"/>
      <c r="K226" s="100"/>
      <c r="L226" s="63"/>
      <c r="M226" s="63"/>
      <c r="R226" s="47"/>
      <c r="S226" s="99"/>
    </row>
    <row r="227" spans="1:19" ht="11.25" customHeight="1" x14ac:dyDescent="0.4">
      <c r="A227" s="64" t="s">
        <v>15</v>
      </c>
      <c r="B227" s="64" t="s">
        <v>248</v>
      </c>
      <c r="C227" s="105"/>
      <c r="D227" s="106"/>
      <c r="E227" s="67"/>
      <c r="F227" s="20" t="s">
        <v>250</v>
      </c>
      <c r="G227" s="19" t="s">
        <v>250</v>
      </c>
      <c r="H227" s="19" t="s">
        <v>251</v>
      </c>
      <c r="I227" s="19" t="s">
        <v>252</v>
      </c>
      <c r="J227" s="107"/>
      <c r="K227" s="100"/>
      <c r="L227" s="63"/>
      <c r="M227" s="63"/>
      <c r="R227" s="47"/>
      <c r="S227" s="99"/>
    </row>
    <row r="228" spans="1:19" ht="11.25" customHeight="1" x14ac:dyDescent="0.4">
      <c r="A228" s="71"/>
      <c r="B228" s="500"/>
      <c r="C228" s="108"/>
      <c r="D228" s="109"/>
      <c r="E228" s="74" t="s">
        <v>249</v>
      </c>
      <c r="F228" s="75" t="s">
        <v>249</v>
      </c>
      <c r="G228" s="23" t="s">
        <v>232</v>
      </c>
      <c r="H228" s="76" t="s">
        <v>254</v>
      </c>
      <c r="I228" s="23" t="s">
        <v>255</v>
      </c>
      <c r="J228" s="23"/>
      <c r="K228" s="100"/>
      <c r="L228" s="63"/>
      <c r="M228" s="63"/>
      <c r="R228" s="47"/>
      <c r="S228" s="99"/>
    </row>
    <row r="229" spans="1:19" ht="11.25" customHeight="1" x14ac:dyDescent="0.4">
      <c r="A229" s="83">
        <v>104</v>
      </c>
      <c r="B229" s="84" t="str">
        <f>IF($A229&gt;0,VLOOKUP($A229,'Kosten Technik'!$A$2:$E$74,2),"")</f>
        <v>Düngung mit Auslegerstreuer, 24 m</v>
      </c>
      <c r="C229" s="84"/>
      <c r="D229" s="84"/>
      <c r="E229" s="51" t="str">
        <f>IF($A229&gt;0,VLOOKUP($A229,'Kosten Technik'!$A$2:$E$74,4),"")</f>
        <v>ha</v>
      </c>
      <c r="F229" s="79">
        <f>IF($A229&gt;0,VLOOKUP($A229,'Kosten Technik'!$A$2:$E$74,5),"")</f>
        <v>16.3</v>
      </c>
      <c r="G229" s="269">
        <f>+F229</f>
        <v>16.3</v>
      </c>
      <c r="H229" s="80">
        <v>2</v>
      </c>
      <c r="I229" s="81">
        <v>1</v>
      </c>
      <c r="J229" s="82">
        <f>+I229*H229*G229</f>
        <v>32.6</v>
      </c>
      <c r="K229" s="100"/>
      <c r="L229" s="63"/>
      <c r="M229" s="63"/>
      <c r="R229" s="47"/>
      <c r="S229" s="99"/>
    </row>
    <row r="230" spans="1:19" ht="11.25" customHeight="1" x14ac:dyDescent="0.4">
      <c r="A230" s="83"/>
      <c r="B230" s="84" t="str">
        <f>IF($A230&gt;0,VLOOKUP($A230,'Kosten Technik'!$A$2:$E$74,2),"")</f>
        <v/>
      </c>
      <c r="C230" s="84"/>
      <c r="D230" s="84"/>
      <c r="E230" s="52" t="str">
        <f>IF($A230&gt;0,VLOOKUP($A230,'Kosten Technik'!$A$2:$E$74,4),"")</f>
        <v/>
      </c>
      <c r="F230" s="85" t="str">
        <f>IF($A230&gt;0,VLOOKUP($A230,'Kosten Technik'!$A$2:$E$74,5),"")</f>
        <v/>
      </c>
      <c r="G230" s="270" t="str">
        <f>+F230</f>
        <v/>
      </c>
      <c r="H230" s="86"/>
      <c r="I230" s="87"/>
      <c r="J230" s="82"/>
      <c r="K230" s="100"/>
      <c r="L230" s="63"/>
      <c r="M230" s="63"/>
      <c r="R230" s="47"/>
      <c r="S230" s="99"/>
    </row>
    <row r="231" spans="1:19" ht="11.25" customHeight="1" x14ac:dyDescent="0.4">
      <c r="A231" s="83">
        <v>105</v>
      </c>
      <c r="B231" s="84" t="str">
        <f>IF($A231&gt;0,VLOOKUP($A231,'Kosten Technik'!$A$2:$E$74,2),"")</f>
        <v xml:space="preserve">Düngung mit Großbehälterstreuer </v>
      </c>
      <c r="C231" s="84"/>
      <c r="D231" s="84"/>
      <c r="E231" s="52" t="str">
        <f>IF($A231&gt;0,VLOOKUP($A231,'Kosten Technik'!$A$2:$E$74,4),"")</f>
        <v>dt</v>
      </c>
      <c r="F231" s="85">
        <f>IF($A231&gt;0,VLOOKUP($A231,'Kosten Technik'!$A$2:$E$74,5),"")</f>
        <v>3</v>
      </c>
      <c r="G231" s="270">
        <f>+F231</f>
        <v>3</v>
      </c>
      <c r="H231" s="86">
        <v>2.4500000000000002</v>
      </c>
      <c r="I231" s="132">
        <v>1</v>
      </c>
      <c r="J231" s="93">
        <f>+I231*H231*G231</f>
        <v>7.3500000000000005</v>
      </c>
      <c r="K231" s="100"/>
      <c r="L231" s="63"/>
      <c r="M231" s="63"/>
      <c r="R231" s="47"/>
      <c r="S231" s="99"/>
    </row>
    <row r="232" spans="1:19" ht="11.25" hidden="1" customHeight="1" x14ac:dyDescent="0.4">
      <c r="A232" s="83"/>
      <c r="B232" s="84" t="str">
        <f>IF($A232&gt;0,VLOOKUP($A232,'Kosten Technik'!$A$2:$E$74,2),"")</f>
        <v/>
      </c>
      <c r="C232" s="84"/>
      <c r="D232" s="84"/>
      <c r="E232" s="52" t="str">
        <f>IF($A232&gt;0,VLOOKUP($A232,'Kosten Technik'!$A$2:$E$74,4),"")</f>
        <v/>
      </c>
      <c r="F232" s="85" t="str">
        <f>IF($A232&gt;0,VLOOKUP($A232,'Kosten Technik'!$A$2:$E$74,5),"")</f>
        <v/>
      </c>
      <c r="G232" s="270"/>
      <c r="H232" s="86"/>
      <c r="I232" s="87"/>
      <c r="J232" s="82"/>
      <c r="K232" s="100"/>
      <c r="L232" s="63"/>
      <c r="M232" s="63"/>
      <c r="R232" s="47"/>
      <c r="S232" s="99"/>
    </row>
    <row r="233" spans="1:19" ht="11.25" hidden="1" customHeight="1" x14ac:dyDescent="0.4">
      <c r="A233" s="83"/>
      <c r="B233" s="84" t="str">
        <f>IF($A233&gt;0,VLOOKUP($A233,'Kosten Technik'!$A$2:$E$74,2),"")</f>
        <v/>
      </c>
      <c r="C233" s="84"/>
      <c r="D233" s="84"/>
      <c r="E233" s="52" t="str">
        <f>IF($A233&gt;0,VLOOKUP($A233,'Kosten Technik'!$A$2:$E$74,4),"")</f>
        <v/>
      </c>
      <c r="F233" s="85" t="str">
        <f>IF($A233&gt;0,VLOOKUP($A233,'Kosten Technik'!$A$2:$E$74,5),"")</f>
        <v/>
      </c>
      <c r="G233" s="270"/>
      <c r="H233" s="86"/>
      <c r="I233" s="87"/>
      <c r="J233" s="82"/>
      <c r="K233" s="100"/>
      <c r="L233" s="63"/>
      <c r="M233" s="63"/>
      <c r="R233" s="47"/>
      <c r="S233" s="99"/>
    </row>
    <row r="234" spans="1:19" ht="11.25" customHeight="1" x14ac:dyDescent="0.4">
      <c r="A234" s="83">
        <v>109</v>
      </c>
      <c r="B234" s="89" t="str">
        <f>IF($A234&gt;0,VLOOKUP($A234,'Kosten Technik'!$A$2:$E$74,2),"")</f>
        <v>Düngung kohls.Kalk im Lohnverfahren</v>
      </c>
      <c r="C234" s="89"/>
      <c r="D234" s="89"/>
      <c r="E234" s="52" t="str">
        <f>IF($A234&gt;0,VLOOKUP($A234,'Kosten Technik'!$A$2:$E$74,4),"")</f>
        <v>dt</v>
      </c>
      <c r="F234" s="85">
        <f>IF($A234&gt;0,VLOOKUP($A234,'Kosten Technik'!$A$2:$E$74,5),"")</f>
        <v>1</v>
      </c>
      <c r="G234" s="196">
        <f>+F234*C222+F234*C223+F234*C224</f>
        <v>8.5300000000000011</v>
      </c>
      <c r="H234" s="86">
        <v>1</v>
      </c>
      <c r="I234" s="132">
        <v>1</v>
      </c>
      <c r="J234" s="93">
        <f>+I234*H234*G234</f>
        <v>8.5300000000000011</v>
      </c>
      <c r="K234" s="100"/>
      <c r="L234" s="63"/>
      <c r="M234" s="63"/>
      <c r="R234" s="47"/>
      <c r="S234" s="99"/>
    </row>
    <row r="235" spans="1:19" ht="11.25" customHeight="1" x14ac:dyDescent="0.4">
      <c r="A235" s="265"/>
      <c r="B235" s="89" t="s">
        <v>261</v>
      </c>
      <c r="C235" s="89"/>
      <c r="D235" s="89"/>
      <c r="E235" s="90"/>
      <c r="F235" s="91"/>
      <c r="G235" s="92"/>
      <c r="H235" s="266"/>
      <c r="I235" s="267"/>
      <c r="J235" s="93">
        <f>SUM(J229:J234)</f>
        <v>48.480000000000004</v>
      </c>
      <c r="K235" s="100"/>
      <c r="L235" s="63"/>
      <c r="M235" s="63"/>
      <c r="R235" s="47"/>
      <c r="S235" s="99"/>
    </row>
    <row r="236" spans="1:19" ht="11.25" customHeight="1" x14ac:dyDescent="0.4">
      <c r="A236" s="64" t="s">
        <v>15</v>
      </c>
      <c r="B236" s="142" t="s">
        <v>263</v>
      </c>
      <c r="C236" s="65"/>
      <c r="D236" s="66"/>
      <c r="E236" s="67" t="s">
        <v>249</v>
      </c>
      <c r="F236" s="19" t="s">
        <v>250</v>
      </c>
      <c r="G236" s="19" t="s">
        <v>250</v>
      </c>
      <c r="H236" s="19" t="s">
        <v>264</v>
      </c>
      <c r="I236" s="19" t="s">
        <v>252</v>
      </c>
      <c r="J236" s="56"/>
      <c r="K236" s="100"/>
      <c r="L236" s="63"/>
      <c r="M236" s="63"/>
      <c r="R236" s="47"/>
      <c r="S236" s="99"/>
    </row>
    <row r="237" spans="1:19" ht="11.25" customHeight="1" x14ac:dyDescent="0.4">
      <c r="A237" s="71"/>
      <c r="B237" s="71"/>
      <c r="C237" s="72"/>
      <c r="D237" s="73"/>
      <c r="E237" s="74"/>
      <c r="F237" s="146" t="s">
        <v>249</v>
      </c>
      <c r="G237" s="23" t="s">
        <v>232</v>
      </c>
      <c r="H237" s="23"/>
      <c r="I237" s="23" t="s">
        <v>255</v>
      </c>
      <c r="J237" s="23"/>
      <c r="K237" s="100"/>
      <c r="L237" s="63"/>
      <c r="M237" s="63"/>
      <c r="R237" s="47"/>
      <c r="S237" s="99"/>
    </row>
    <row r="238" spans="1:19" ht="11.25" customHeight="1" x14ac:dyDescent="0.4">
      <c r="A238" s="118"/>
      <c r="B238" s="143" t="str">
        <f>IF($A238&gt;0,VLOOKUP($A238,'Kosten Technik'!$A$2:$E$74,2),"")</f>
        <v/>
      </c>
      <c r="C238" s="65"/>
      <c r="D238" s="66"/>
      <c r="E238" s="52" t="str">
        <f>IF($A238&gt;0,VLOOKUP($A238,'Kosten Technik'!$A$2:$E$74,4),"")</f>
        <v/>
      </c>
      <c r="F238" s="85" t="str">
        <f>IF($A238&gt;0,VLOOKUP($A238,'Kosten Technik'!$A$2:$E$74,5),"")</f>
        <v/>
      </c>
      <c r="G238" s="271"/>
      <c r="H238" s="226"/>
      <c r="I238" s="87"/>
      <c r="J238" s="112"/>
      <c r="K238" s="100"/>
      <c r="L238" s="63"/>
      <c r="M238" s="63"/>
      <c r="R238" s="47"/>
      <c r="S238" s="99"/>
    </row>
    <row r="239" spans="1:19" ht="11.25" customHeight="1" x14ac:dyDescent="0.4">
      <c r="A239" s="83">
        <v>123</v>
      </c>
      <c r="B239" s="94" t="str">
        <f>IF($A239&gt;0,VLOOKUP($A239,'Kosten Technik'!$A$2:$E$74,2),"")</f>
        <v>Mineraldüngerlager, hofeigen</v>
      </c>
      <c r="C239" s="89"/>
      <c r="D239" s="144"/>
      <c r="E239" s="52" t="str">
        <f>IF($A239&gt;0,VLOOKUP($A239,'Kosten Technik'!$A$2:$E$74,4),"")</f>
        <v>dt</v>
      </c>
      <c r="F239" s="85">
        <f>IF($A239&gt;0,VLOOKUP($A239,'Kosten Technik'!$A$2:$E$74,5),"")</f>
        <v>1</v>
      </c>
      <c r="G239" s="271"/>
      <c r="H239" s="226">
        <f>C225-C222-C223-C224</f>
        <v>6.1500000000000012</v>
      </c>
      <c r="I239" s="87">
        <v>1</v>
      </c>
      <c r="J239" s="93">
        <f>+I239*F239*H239</f>
        <v>6.1500000000000012</v>
      </c>
      <c r="K239" s="100"/>
      <c r="L239" s="63"/>
      <c r="M239" s="63"/>
      <c r="R239" s="47"/>
      <c r="S239" s="99"/>
    </row>
    <row r="240" spans="1:19" ht="11.25" customHeight="1" x14ac:dyDescent="0.4">
      <c r="A240" s="265"/>
      <c r="B240" s="89" t="s">
        <v>265</v>
      </c>
      <c r="C240" s="89"/>
      <c r="D240" s="89"/>
      <c r="E240" s="52"/>
      <c r="F240" s="85"/>
      <c r="G240" s="145"/>
      <c r="H240" s="268"/>
      <c r="I240" s="267"/>
      <c r="J240" s="93">
        <f>SUM(J238:J239)</f>
        <v>6.1500000000000012</v>
      </c>
      <c r="K240" s="100"/>
      <c r="L240" s="63"/>
      <c r="M240" s="63"/>
      <c r="R240" s="47"/>
      <c r="S240" s="99"/>
    </row>
    <row r="241" spans="1:19" ht="11.25" customHeight="1" x14ac:dyDescent="0.4">
      <c r="A241" s="64" t="s">
        <v>15</v>
      </c>
      <c r="B241" s="496" t="s">
        <v>266</v>
      </c>
      <c r="C241" s="65"/>
      <c r="D241" s="66"/>
      <c r="E241" s="67" t="s">
        <v>249</v>
      </c>
      <c r="F241" s="19" t="s">
        <v>250</v>
      </c>
      <c r="G241" s="19" t="s">
        <v>250</v>
      </c>
      <c r="H241" s="19" t="s">
        <v>264</v>
      </c>
      <c r="I241" s="19" t="s">
        <v>252</v>
      </c>
      <c r="J241" s="56"/>
      <c r="K241" s="100"/>
      <c r="L241" s="63"/>
      <c r="M241" s="63"/>
      <c r="R241" s="47"/>
      <c r="S241" s="99"/>
    </row>
    <row r="242" spans="1:19" ht="11.25" customHeight="1" x14ac:dyDescent="0.4">
      <c r="A242" s="71"/>
      <c r="B242" s="71"/>
      <c r="C242" s="72"/>
      <c r="D242" s="73"/>
      <c r="E242" s="74"/>
      <c r="F242" s="146" t="s">
        <v>249</v>
      </c>
      <c r="G242" s="23" t="s">
        <v>232</v>
      </c>
      <c r="H242" s="23"/>
      <c r="I242" s="23" t="s">
        <v>255</v>
      </c>
      <c r="J242" s="23"/>
      <c r="K242" s="100"/>
      <c r="L242" s="63"/>
      <c r="M242" s="63"/>
      <c r="R242" s="47"/>
      <c r="S242" s="99"/>
    </row>
    <row r="243" spans="1:19" ht="11.25" customHeight="1" x14ac:dyDescent="0.4">
      <c r="A243" s="77">
        <v>141</v>
      </c>
      <c r="B243" s="143" t="str">
        <f>IF($A243&gt;0,VLOOKUP($A243,'Kosten Technik'!$A$2:$E$74,2),"")</f>
        <v>LKW-Lieferung unter 100 km</v>
      </c>
      <c r="C243" s="78"/>
      <c r="D243" s="111"/>
      <c r="E243" s="51" t="str">
        <f>IF($A243&gt;0,VLOOKUP($A243,'Kosten Technik'!$A$2:$E$74,4),"")</f>
        <v>dt</v>
      </c>
      <c r="F243" s="79">
        <f>IF($A243&gt;0,VLOOKUP($A243,'Kosten Technik'!$A$2:$E$74,5),0)</f>
        <v>0.9</v>
      </c>
      <c r="G243" s="196"/>
      <c r="H243" s="225">
        <f>SUM(C217:C221)</f>
        <v>6.15</v>
      </c>
      <c r="I243" s="81">
        <v>1</v>
      </c>
      <c r="J243" s="112">
        <f>+I243*F243*H243</f>
        <v>5.5350000000000001</v>
      </c>
      <c r="K243" s="100"/>
      <c r="L243" s="63"/>
      <c r="M243" s="63"/>
      <c r="R243" s="47"/>
      <c r="S243" s="99"/>
    </row>
    <row r="244" spans="1:19" ht="11.25" customHeight="1" x14ac:dyDescent="0.4">
      <c r="A244" s="83">
        <v>141</v>
      </c>
      <c r="B244" s="94" t="str">
        <f>IF($A244&gt;0,VLOOKUP($A244,'Kosten Technik'!$A$2:$E$74,2),"")</f>
        <v>LKW-Lieferung unter 100 km</v>
      </c>
      <c r="C244" s="89"/>
      <c r="D244" s="144"/>
      <c r="E244" s="52" t="str">
        <f>IF($A244&gt;0,VLOOKUP($A244,'Kosten Technik'!$A$2:$E$74,4),"")</f>
        <v>dt</v>
      </c>
      <c r="F244" s="85">
        <f>IF($A244&gt;0,VLOOKUP($A244,'Kosten Technik'!$A$2:$E$74,5),0)</f>
        <v>0.9</v>
      </c>
      <c r="G244" s="196"/>
      <c r="H244" s="226">
        <f>SUM(C222:C224)</f>
        <v>8.5300000000000011</v>
      </c>
      <c r="I244" s="87">
        <v>1</v>
      </c>
      <c r="J244" s="93">
        <f>+I244*F244*H244</f>
        <v>7.6770000000000014</v>
      </c>
      <c r="K244" s="100"/>
      <c r="L244" s="63"/>
      <c r="M244" s="63"/>
      <c r="R244" s="47"/>
      <c r="S244" s="99"/>
    </row>
    <row r="245" spans="1:19" ht="11.25" customHeight="1" x14ac:dyDescent="0.4">
      <c r="A245" s="265"/>
      <c r="B245" s="260" t="s">
        <v>267</v>
      </c>
      <c r="C245" s="89"/>
      <c r="D245" s="89"/>
      <c r="E245" s="52"/>
      <c r="F245" s="85"/>
      <c r="G245" s="145"/>
      <c r="H245" s="268"/>
      <c r="I245" s="267"/>
      <c r="J245" s="93">
        <f>SUM(J243:J244)</f>
        <v>13.212000000000002</v>
      </c>
      <c r="K245" s="100"/>
      <c r="L245" s="63"/>
      <c r="M245" s="63"/>
      <c r="R245" s="47"/>
      <c r="S245" s="99"/>
    </row>
    <row r="246" spans="1:19" ht="11.25" customHeight="1" x14ac:dyDescent="0.4">
      <c r="A246" s="258"/>
      <c r="B246" s="95" t="s">
        <v>268</v>
      </c>
      <c r="C246" s="96"/>
      <c r="D246" s="96"/>
      <c r="E246" s="97"/>
      <c r="F246" s="97"/>
      <c r="G246" s="96"/>
      <c r="H246" s="96"/>
      <c r="I246" s="259"/>
      <c r="J246" s="98">
        <f>J225+J235+J240+J245</f>
        <v>284.97399999999999</v>
      </c>
      <c r="K246" s="100"/>
      <c r="L246" s="63"/>
      <c r="M246" s="63"/>
      <c r="R246" s="47"/>
      <c r="S246" s="99"/>
    </row>
    <row r="247" spans="1:19" ht="11.25" customHeight="1" x14ac:dyDescent="0.4">
      <c r="A247" s="135"/>
      <c r="B247" s="136"/>
      <c r="C247" s="137"/>
      <c r="D247" s="137"/>
      <c r="E247" s="138"/>
      <c r="F247" s="138"/>
      <c r="G247" s="137"/>
      <c r="H247" s="137"/>
      <c r="I247" s="139"/>
      <c r="J247" s="140"/>
      <c r="K247" s="100"/>
      <c r="L247" s="63"/>
      <c r="M247" s="63"/>
      <c r="R247" s="47"/>
      <c r="S247" s="99"/>
    </row>
    <row r="248" spans="1:19" ht="11.25" customHeight="1" x14ac:dyDescent="0.4">
      <c r="A248" s="135"/>
      <c r="B248" s="136"/>
      <c r="C248" s="137"/>
      <c r="D248" s="137"/>
      <c r="E248" s="138"/>
      <c r="F248" s="138"/>
      <c r="G248" s="137"/>
      <c r="H248" s="137"/>
      <c r="I248" s="139"/>
      <c r="J248" s="140"/>
      <c r="K248" s="100"/>
      <c r="L248" s="63"/>
      <c r="M248" s="63"/>
      <c r="R248" s="47"/>
      <c r="S248" s="99"/>
    </row>
    <row r="249" spans="1:19" ht="12.3" x14ac:dyDescent="0.4">
      <c r="A249" s="497" t="s">
        <v>278</v>
      </c>
      <c r="B249" s="513" t="s">
        <v>279</v>
      </c>
      <c r="C249" s="217"/>
      <c r="D249" s="499"/>
      <c r="E249" s="499"/>
      <c r="F249" s="215"/>
      <c r="G249" s="215"/>
      <c r="H249" s="215"/>
      <c r="I249" s="215"/>
      <c r="J249" s="219"/>
      <c r="K249" s="100"/>
      <c r="L249" s="62"/>
      <c r="M249" s="62"/>
      <c r="S249" s="99"/>
    </row>
    <row r="250" spans="1:19" ht="11.25" customHeight="1" x14ac:dyDescent="0.4">
      <c r="A250" s="18" t="s">
        <v>15</v>
      </c>
      <c r="B250" s="19" t="s">
        <v>81</v>
      </c>
      <c r="C250" s="19" t="s">
        <v>243</v>
      </c>
      <c r="D250" s="19" t="s">
        <v>22</v>
      </c>
      <c r="E250" s="20" t="s">
        <v>71</v>
      </c>
      <c r="F250" s="19" t="s">
        <v>74</v>
      </c>
      <c r="G250" s="20" t="s">
        <v>23</v>
      </c>
      <c r="H250" s="19" t="s">
        <v>25</v>
      </c>
      <c r="I250" s="19" t="s">
        <v>24</v>
      </c>
      <c r="J250" s="19" t="s">
        <v>244</v>
      </c>
      <c r="K250" s="100"/>
      <c r="L250" s="62"/>
      <c r="M250" s="62"/>
      <c r="S250" s="99"/>
    </row>
    <row r="251" spans="1:19" ht="11.25" customHeight="1" x14ac:dyDescent="0.4">
      <c r="A251" s="48"/>
      <c r="B251" s="103"/>
      <c r="C251" s="24" t="s">
        <v>233</v>
      </c>
      <c r="D251" s="24" t="s">
        <v>234</v>
      </c>
      <c r="E251" s="49" t="s">
        <v>234</v>
      </c>
      <c r="F251" s="50" t="s">
        <v>234</v>
      </c>
      <c r="G251" s="49" t="s">
        <v>234</v>
      </c>
      <c r="H251" s="50" t="s">
        <v>234</v>
      </c>
      <c r="I251" s="50" t="s">
        <v>234</v>
      </c>
      <c r="J251" s="24" t="s">
        <v>245</v>
      </c>
      <c r="K251" s="100"/>
      <c r="L251" s="62"/>
      <c r="M251" s="62"/>
      <c r="S251" s="99"/>
    </row>
    <row r="252" spans="1:19" ht="11.25" customHeight="1" x14ac:dyDescent="0.4">
      <c r="A252" s="77">
        <v>3</v>
      </c>
      <c r="B252" s="52" t="str">
        <f>IF($A252&gt;0,VLOOKUP($A252,Düngemittel!$A$3:$I$510,2),"")</f>
        <v>Harnstoff, 46 % N, stabilisiert</v>
      </c>
      <c r="C252" s="104">
        <v>3.12</v>
      </c>
      <c r="D252" s="54">
        <f>IF($A252&gt;0,$C252*VLOOKUP($A252,Düngemittel!$A$3:$M$510,3),0)</f>
        <v>143.52000000000001</v>
      </c>
      <c r="E252" s="54">
        <f>IF($A252&gt;0,$C252*VLOOKUP($A252,Düngemittel!$A$3:$M$510,4),0)</f>
        <v>0</v>
      </c>
      <c r="F252" s="54">
        <f>IF($A252&gt;0,$C252*VLOOKUP($A252,Düngemittel!$A$3:$M$510,5),0)</f>
        <v>0</v>
      </c>
      <c r="G252" s="54">
        <f>IF($A252&gt;0,$C252*VLOOKUP($A252,Düngemittel!$A$3:$M$510,6),0)</f>
        <v>0</v>
      </c>
      <c r="H252" s="54">
        <f>IF($A252&gt;0,$C252*VLOOKUP($A252,Düngemittel!$A$3:$M$510,8),0)</f>
        <v>-143.52000000000001</v>
      </c>
      <c r="I252" s="55">
        <f>IF($A252&gt;0,$C252*VLOOKUP($A252,Düngemittel!$A$3:$M$510,7),0)</f>
        <v>0</v>
      </c>
      <c r="J252" s="237">
        <f>IF($A252&gt;0,VLOOKUP($A252,Düngemittel!$A$3:$S$510,10)*$C252,0)</f>
        <v>101.4</v>
      </c>
      <c r="K252" s="100"/>
      <c r="L252" s="102"/>
      <c r="M252" s="102"/>
      <c r="S252" s="99"/>
    </row>
    <row r="253" spans="1:19" ht="11.25" customHeight="1" x14ac:dyDescent="0.4">
      <c r="A253" s="83">
        <v>9</v>
      </c>
      <c r="B253" s="52" t="str">
        <f>IF($A253&gt;0,VLOOKUP($A253,Düngemittel!$A$3:$I$1362,2),"")</f>
        <v>Schwefelsaures Amoniak 21% N + 24% S,</v>
      </c>
      <c r="C253" s="53">
        <v>0.9</v>
      </c>
      <c r="D253" s="54">
        <f>IF($A253&gt;0,$C253*VLOOKUP($A253,Düngemittel!$A$3:$M$510,3),0)</f>
        <v>18.900000000000002</v>
      </c>
      <c r="E253" s="54">
        <f>IF($A253&gt;0,$C253*VLOOKUP($A253,Düngemittel!$A$3:$M$510,4),0)</f>
        <v>0</v>
      </c>
      <c r="F253" s="54">
        <f>IF($A253&gt;0,$C253*VLOOKUP($A253,Düngemittel!$A$3:$M$510,5),0)</f>
        <v>0</v>
      </c>
      <c r="G253" s="54">
        <f>IF($A253&gt;0,$C253*VLOOKUP($A253,Düngemittel!$A$3:$M$510,6),0)</f>
        <v>0</v>
      </c>
      <c r="H253" s="54">
        <f>IF($A253&gt;0,$C253*VLOOKUP($A253,Düngemittel!$A$3:$M$510,8),0)</f>
        <v>-56.7</v>
      </c>
      <c r="I253" s="55">
        <f>IF($A253&gt;0,$C253*VLOOKUP($A253,Düngemittel!$A$3:$M$510,7),0)</f>
        <v>21.6</v>
      </c>
      <c r="J253" s="237">
        <f>IF($A253&gt;0,VLOOKUP($A253,Düngemittel!$A$3:$S$510,10)*$C253,0)</f>
        <v>24.291</v>
      </c>
      <c r="K253" s="100"/>
      <c r="L253" s="102"/>
      <c r="M253" s="102"/>
      <c r="S253" s="99"/>
    </row>
    <row r="254" spans="1:19" ht="11.25" customHeight="1" x14ac:dyDescent="0.4">
      <c r="A254" s="83">
        <v>16</v>
      </c>
      <c r="B254" s="52" t="str">
        <f>IF($A254&gt;0,VLOOKUP($A254,Düngemittel!$A$3:$I$1362,2),"")</f>
        <v>Monoammonphosphat</v>
      </c>
      <c r="C254" s="53">
        <v>1</v>
      </c>
      <c r="D254" s="54">
        <f>IF($A254&gt;0,$C254*VLOOKUP($A254,Düngemittel!$A$3:$M$510,3),0)</f>
        <v>12</v>
      </c>
      <c r="E254" s="54">
        <f>IF($A254&gt;0,$C254*VLOOKUP($A254,Düngemittel!$A$3:$M$510,4),0)</f>
        <v>52</v>
      </c>
      <c r="F254" s="54">
        <f>IF($A254&gt;0,$C254*VLOOKUP($A254,Düngemittel!$A$3:$M$510,5),0)</f>
        <v>0</v>
      </c>
      <c r="G254" s="54">
        <f>IF($A254&gt;0,$C254*VLOOKUP($A254,Düngemittel!$A$3:$M$510,6),0)</f>
        <v>0</v>
      </c>
      <c r="H254" s="54">
        <f>IF($A254&gt;0,$C254*VLOOKUP($A254,Düngemittel!$A$3:$M$510,8),0)</f>
        <v>-37</v>
      </c>
      <c r="I254" s="55">
        <f>IF($A254&gt;0,$C254*VLOOKUP($A254,Düngemittel!$A$3:$M$510,7),0)</f>
        <v>0</v>
      </c>
      <c r="J254" s="237">
        <f>IF($A254&gt;0,VLOOKUP($A254,Düngemittel!$A$3:$S$510,10)*$C254,0)</f>
        <v>36.5</v>
      </c>
      <c r="K254" s="100"/>
      <c r="L254" s="102"/>
      <c r="M254" s="114"/>
      <c r="S254" s="99"/>
    </row>
    <row r="255" spans="1:19" ht="11.25" customHeight="1" x14ac:dyDescent="0.4">
      <c r="A255" s="83">
        <v>50</v>
      </c>
      <c r="B255" s="52" t="str">
        <f>IF($A255&gt;0,VLOOKUP($A255,Düngemittel!$A$3:$I$1362,2),"")</f>
        <v>60er Kali</v>
      </c>
      <c r="C255" s="53">
        <v>1.05</v>
      </c>
      <c r="D255" s="54">
        <f>IF($A255&gt;0,$C255*VLOOKUP($A255,Düngemittel!$A$3:$M$510,3),0)</f>
        <v>0</v>
      </c>
      <c r="E255" s="54">
        <f>IF($A255&gt;0,$C255*VLOOKUP($A255,Düngemittel!$A$3:$M$510,4),0)</f>
        <v>0</v>
      </c>
      <c r="F255" s="54">
        <f>IF($A255&gt;0,$C255*VLOOKUP($A255,Düngemittel!$A$3:$M$510,5),0)</f>
        <v>63</v>
      </c>
      <c r="G255" s="54">
        <f>IF($A255&gt;0,$C255*VLOOKUP($A255,Düngemittel!$A$3:$M$510,6),0)</f>
        <v>0</v>
      </c>
      <c r="H255" s="54">
        <f>IF($A255&gt;0,$C255*VLOOKUP($A255,Düngemittel!$A$3:$M$510,8),0)</f>
        <v>0</v>
      </c>
      <c r="I255" s="55">
        <f>IF($A255&gt;0,$C255*VLOOKUP($A255,Düngemittel!$A$3:$M$510,7),0)</f>
        <v>0</v>
      </c>
      <c r="J255" s="237">
        <f>IF($A255&gt;0,VLOOKUP($A255,Düngemittel!$A$3:$S$510,10)*$C255,0)</f>
        <v>30.366000000000003</v>
      </c>
      <c r="K255" s="100"/>
      <c r="L255" s="62"/>
      <c r="M255" s="62"/>
      <c r="S255" s="99"/>
    </row>
    <row r="256" spans="1:19" ht="11.25" customHeight="1" x14ac:dyDescent="0.4">
      <c r="A256" s="83"/>
      <c r="B256" s="52" t="str">
        <f>IF($A256&gt;0,VLOOKUP($A256,Düngemittel!$A$3:$I$1362,2),"")</f>
        <v/>
      </c>
      <c r="C256" s="53"/>
      <c r="D256" s="54">
        <f>IF($A256&gt;0,$C256*VLOOKUP($A256,Düngemittel!$A$3:$M$510,3),0)</f>
        <v>0</v>
      </c>
      <c r="E256" s="54">
        <f>IF($A256&gt;0,$C256*VLOOKUP($A256,Düngemittel!$A$3:$M$510,4),0)</f>
        <v>0</v>
      </c>
      <c r="F256" s="54">
        <f>IF($A256&gt;0,$C256*VLOOKUP($A256,Düngemittel!$A$3:$M$510,5),0)</f>
        <v>0</v>
      </c>
      <c r="G256" s="54">
        <f>IF($A256&gt;0,$C256*VLOOKUP($A256,Düngemittel!$A$3:$M$510,6),0)</f>
        <v>0</v>
      </c>
      <c r="H256" s="54">
        <f>IF($A256&gt;0,$C256*VLOOKUP($A256,Düngemittel!$A$3:$M$510,8),0)</f>
        <v>0</v>
      </c>
      <c r="I256" s="55">
        <f>IF($A256&gt;0,$C256*VLOOKUP($A256,Düngemittel!$A$3:$M$510,7),0)</f>
        <v>0</v>
      </c>
      <c r="J256" s="237">
        <f>IF($A256&gt;0,VLOOKUP($A256,Düngemittel!$A$3:$S$510,10)*$C256,0)</f>
        <v>0</v>
      </c>
      <c r="K256" s="100"/>
      <c r="L256" s="62"/>
      <c r="M256" s="62"/>
      <c r="S256" s="99"/>
    </row>
    <row r="257" spans="1:13" ht="11.25" customHeight="1" x14ac:dyDescent="0.4">
      <c r="A257" s="27"/>
      <c r="B257" s="52" t="str">
        <f>IF($A257&gt;0,VLOOKUP($A257,Düngemittel!$A$3:$I$1362,2),"")</f>
        <v/>
      </c>
      <c r="C257" s="53"/>
      <c r="D257" s="54">
        <f>IF($A257&gt;0,$C257*VLOOKUP($A257,Düngemittel!$A$3:$M$510,3),0)</f>
        <v>0</v>
      </c>
      <c r="E257" s="54">
        <f>IF($A257&gt;0,$C257*VLOOKUP($A257,Düngemittel!$A$3:$M$510,4),0)</f>
        <v>0</v>
      </c>
      <c r="F257" s="54">
        <f>IF($A257&gt;0,$C257*VLOOKUP($A257,Düngemittel!$A$3:$M$510,5),0)</f>
        <v>0</v>
      </c>
      <c r="G257" s="54">
        <f>IF($A257&gt;0,$C257*VLOOKUP($A257,Düngemittel!$A$3:$M$510,6),0)</f>
        <v>0</v>
      </c>
      <c r="H257" s="54">
        <f>IF($A257&gt;0,$C257*VLOOKUP($A257,Düngemittel!$A$3:$M$510,8),0)</f>
        <v>0</v>
      </c>
      <c r="I257" s="55">
        <f>IF($A257&gt;0,$C257*VLOOKUP($A257,Düngemittel!$A$3:$M$510,7),0)</f>
        <v>0</v>
      </c>
      <c r="J257" s="237">
        <f>IF($A257&gt;0,VLOOKUP($A257,Düngemittel!$A$3:$S$510,10)*$C257,0)</f>
        <v>0</v>
      </c>
      <c r="L257" s="63"/>
      <c r="M257" s="63"/>
    </row>
    <row r="258" spans="1:13" ht="11.25" customHeight="1" x14ac:dyDescent="0.4">
      <c r="A258" s="83">
        <v>83</v>
      </c>
      <c r="B258" s="52" t="str">
        <f>IF($A258&gt;0,VLOOKUP($A258,Düngemittel!$A$3:$I$1362,2),"")</f>
        <v>Kohlensauer Kalk, 80 % CaCO3 + 5 MgCO3</v>
      </c>
      <c r="C258" s="53">
        <v>7.78</v>
      </c>
      <c r="D258" s="54">
        <f>IF($A258&gt;0,$C258*VLOOKUP($A258,Düngemittel!$A$3:$M$510,3),0)</f>
        <v>0</v>
      </c>
      <c r="E258" s="54">
        <f>IF($A258&gt;0,$C258*VLOOKUP($A258,Düngemittel!$A$3:$M$510,4),0)</f>
        <v>0</v>
      </c>
      <c r="F258" s="54">
        <f>IF($A258&gt;0,$C258*VLOOKUP($A258,Düngemittel!$A$3:$M$510,5),0)</f>
        <v>0</v>
      </c>
      <c r="G258" s="54">
        <f>IF($A258&gt;0,$C258*VLOOKUP($A258,Düngemittel!$A$3:$M$510,6),0)</f>
        <v>15.56</v>
      </c>
      <c r="H258" s="54">
        <f>IF($A258&gt;0,$C258*VLOOKUP($A258,Düngemittel!$A$3:$M$510,8),0)</f>
        <v>373.44</v>
      </c>
      <c r="I258" s="55">
        <f>IF($A258&gt;0,$C258*VLOOKUP($A258,Düngemittel!$A$3:$M$510,7),0)</f>
        <v>0</v>
      </c>
      <c r="J258" s="237">
        <f>IF($A258&gt;0,VLOOKUP($A258,Düngemittel!$A$3:$S$510,10)*$C258,0)</f>
        <v>22.250799999999998</v>
      </c>
      <c r="L258" s="63"/>
      <c r="M258" s="63"/>
    </row>
    <row r="259" spans="1:13" ht="11.25" customHeight="1" x14ac:dyDescent="0.4">
      <c r="A259" s="27">
        <v>84</v>
      </c>
      <c r="B259" s="90" t="str">
        <f>IF($A259&gt;0,VLOOKUP($A259,Düngemittel!$A$3:$I$1362,2),"")</f>
        <v>Kohlensaurer Kalk 70+15</v>
      </c>
      <c r="C259" s="214">
        <v>1.55</v>
      </c>
      <c r="D259" s="54">
        <f>IF($A259&gt;0,$C259*VLOOKUP($A259,Düngemittel!$A$3:$M$510,3),0)</f>
        <v>0</v>
      </c>
      <c r="E259" s="54">
        <f>IF($A259&gt;0,$C259*VLOOKUP($A259,Düngemittel!$A$3:$M$510,4),0)</f>
        <v>0</v>
      </c>
      <c r="F259" s="54">
        <f>IF($A259&gt;0,$C259*VLOOKUP($A259,Düngemittel!$A$3:$M$510,5),0)</f>
        <v>0</v>
      </c>
      <c r="G259" s="54">
        <f>IF($A259&gt;0,$C259*VLOOKUP($A259,Düngemittel!$A$3:$M$510,6),0)</f>
        <v>10.85</v>
      </c>
      <c r="H259" s="54">
        <f>IF($A259&gt;0,$C259*VLOOKUP($A259,Düngemittel!$A$3:$M$510,8),0)</f>
        <v>75.95</v>
      </c>
      <c r="I259" s="55">
        <f>IF($A259&gt;0,$C259*VLOOKUP($A259,Düngemittel!$A$3:$M$510,7),0)</f>
        <v>0</v>
      </c>
      <c r="J259" s="308">
        <f>IF($A259&gt;0,VLOOKUP($A259,Düngemittel!$A$3:$S$510,10)*$C259,0)</f>
        <v>7.5330000000000004</v>
      </c>
      <c r="L259" s="63"/>
      <c r="M259" s="63"/>
    </row>
    <row r="260" spans="1:13" ht="11.25" customHeight="1" x14ac:dyDescent="0.4">
      <c r="A260" s="192"/>
      <c r="B260" s="52" t="s">
        <v>246</v>
      </c>
      <c r="C260" s="264">
        <f>SUM(C252:C259)</f>
        <v>15.400000000000002</v>
      </c>
      <c r="D260" s="57"/>
      <c r="E260" s="57"/>
      <c r="F260" s="57"/>
      <c r="G260" s="57"/>
      <c r="H260" s="57"/>
      <c r="I260" s="58"/>
      <c r="J260" s="60">
        <f>SUM(J252:J259)</f>
        <v>222.3408</v>
      </c>
      <c r="L260" s="63"/>
      <c r="M260" s="63"/>
    </row>
    <row r="261" spans="1:13" ht="11.25" customHeight="1" x14ac:dyDescent="0.4">
      <c r="A261" s="224" t="s">
        <v>247</v>
      </c>
      <c r="B261" s="43"/>
      <c r="C261" s="129"/>
      <c r="D261" s="59">
        <f t="shared" ref="D261:I261" si="9">SUM(D252:D259)-E$24</f>
        <v>0.12252000000000862</v>
      </c>
      <c r="E261" s="59">
        <f>SUM(E252:E259)-F$24</f>
        <v>0.18817818700001254</v>
      </c>
      <c r="F261" s="59">
        <f t="shared" si="9"/>
        <v>-9.5687368000000106E-2</v>
      </c>
      <c r="G261" s="59">
        <f t="shared" si="9"/>
        <v>-0.12763678800000022</v>
      </c>
      <c r="H261" s="59">
        <f t="shared" si="9"/>
        <v>-0.38577848000002746</v>
      </c>
      <c r="I261" s="59">
        <f t="shared" si="9"/>
        <v>0.41506420000000332</v>
      </c>
      <c r="J261" s="60"/>
      <c r="L261" s="63"/>
      <c r="M261" s="63"/>
    </row>
    <row r="262" spans="1:13" ht="11.25" customHeight="1" x14ac:dyDescent="0.35">
      <c r="A262" s="64" t="s">
        <v>15</v>
      </c>
      <c r="B262" s="64" t="s">
        <v>248</v>
      </c>
      <c r="C262" s="105"/>
      <c r="D262" s="106"/>
      <c r="E262" s="67"/>
      <c r="F262" s="20" t="s">
        <v>250</v>
      </c>
      <c r="G262" s="19" t="s">
        <v>250</v>
      </c>
      <c r="H262" s="19" t="s">
        <v>251</v>
      </c>
      <c r="I262" s="19" t="s">
        <v>252</v>
      </c>
      <c r="J262" s="107"/>
    </row>
    <row r="263" spans="1:13" ht="11.25" customHeight="1" x14ac:dyDescent="0.4">
      <c r="A263" s="71"/>
      <c r="B263" s="500"/>
      <c r="C263" s="108"/>
      <c r="D263" s="109"/>
      <c r="E263" s="74" t="s">
        <v>249</v>
      </c>
      <c r="F263" s="75" t="s">
        <v>249</v>
      </c>
      <c r="G263" s="23" t="s">
        <v>232</v>
      </c>
      <c r="H263" s="76" t="s">
        <v>254</v>
      </c>
      <c r="I263" s="23" t="s">
        <v>255</v>
      </c>
      <c r="J263" s="23"/>
    </row>
    <row r="264" spans="1:13" ht="11.25" customHeight="1" x14ac:dyDescent="0.35">
      <c r="A264" s="83">
        <v>107</v>
      </c>
      <c r="B264" s="84" t="str">
        <f>IF($A264&gt;0,VLOOKUP($A264,'Kosten Technik'!$A$2:$E$74,2),"")</f>
        <v>Düngung mit Kreiselstreuer, 24 m</v>
      </c>
      <c r="C264" s="84"/>
      <c r="D264" s="84"/>
      <c r="E264" s="51" t="str">
        <f>IF($A264&gt;0,VLOOKUP($A264,'Kosten Technik'!$A$2:$E$74,4),"")</f>
        <v>ha</v>
      </c>
      <c r="F264" s="79">
        <f>IF($A264&gt;0,VLOOKUP($A264,'Kosten Technik'!$A$2:$E$74,5),"")</f>
        <v>13.2</v>
      </c>
      <c r="G264" s="269">
        <f>+F264</f>
        <v>13.2</v>
      </c>
      <c r="H264" s="80">
        <v>3</v>
      </c>
      <c r="I264" s="81">
        <v>1</v>
      </c>
      <c r="J264" s="82">
        <f>+I264*H264*G264</f>
        <v>39.599999999999994</v>
      </c>
    </row>
    <row r="265" spans="1:13" ht="11.25" customHeight="1" x14ac:dyDescent="0.35">
      <c r="A265" s="83"/>
      <c r="B265" s="84" t="str">
        <f>IF($A265&gt;0,VLOOKUP($A265,'Kosten Technik'!$A$2:$E$74,2),"")</f>
        <v/>
      </c>
      <c r="C265" s="84"/>
      <c r="D265" s="84"/>
      <c r="E265" s="52" t="str">
        <f>IF($A265&gt;0,VLOOKUP($A265,'Kosten Technik'!$A$2:$E$74,4),"")</f>
        <v/>
      </c>
      <c r="F265" s="85" t="str">
        <f>IF($A265&gt;0,VLOOKUP($A265,'Kosten Technik'!$A$2:$E$74,5),"")</f>
        <v/>
      </c>
      <c r="G265" s="270"/>
      <c r="H265" s="86"/>
      <c r="I265" s="87"/>
      <c r="J265" s="82"/>
    </row>
    <row r="266" spans="1:13" ht="11.25" customHeight="1" x14ac:dyDescent="0.35">
      <c r="A266" s="83">
        <v>105</v>
      </c>
      <c r="B266" s="84" t="str">
        <f>IF($A266&gt;0,VLOOKUP($A266,'Kosten Technik'!$A$2:$E$74,2),"")</f>
        <v xml:space="preserve">Düngung mit Großbehälterstreuer </v>
      </c>
      <c r="C266" s="84"/>
      <c r="D266" s="84"/>
      <c r="E266" s="52" t="str">
        <f>IF($A266&gt;0,VLOOKUP($A266,'Kosten Technik'!$A$2:$E$74,4),"")</f>
        <v>dt</v>
      </c>
      <c r="F266" s="85">
        <f>IF($A266&gt;0,VLOOKUP($A266,'Kosten Technik'!$A$2:$E$74,5),"")</f>
        <v>3</v>
      </c>
      <c r="G266" s="270">
        <f>+F266</f>
        <v>3</v>
      </c>
      <c r="H266" s="86">
        <v>2.0499999999999998</v>
      </c>
      <c r="I266" s="87">
        <v>1</v>
      </c>
      <c r="J266" s="82">
        <f>+I266*H266*G266</f>
        <v>6.1499999999999995</v>
      </c>
    </row>
    <row r="267" spans="1:13" ht="11.25" hidden="1" customHeight="1" x14ac:dyDescent="0.35">
      <c r="A267" s="83"/>
      <c r="B267" s="84" t="str">
        <f>IF($A267&gt;0,VLOOKUP($A267,'Kosten Technik'!$A$2:$E$74,2),"")</f>
        <v/>
      </c>
      <c r="C267" s="84"/>
      <c r="D267" s="84"/>
      <c r="E267" s="52" t="str">
        <f>IF($A267&gt;0,VLOOKUP($A267,'Kosten Technik'!$A$2:$E$74,4),"")</f>
        <v/>
      </c>
      <c r="F267" s="85" t="str">
        <f>IF($A267&gt;0,VLOOKUP($A267,'Kosten Technik'!$A$2:$E$74,5),"")</f>
        <v/>
      </c>
      <c r="G267" s="270" t="str">
        <f>+F267</f>
        <v/>
      </c>
      <c r="H267" s="86"/>
      <c r="I267" s="87"/>
      <c r="J267" s="82"/>
    </row>
    <row r="268" spans="1:13" ht="11.25" hidden="1" customHeight="1" x14ac:dyDescent="0.35">
      <c r="A268" s="83"/>
      <c r="B268" s="84" t="str">
        <f>IF($A268&gt;0,VLOOKUP($A268,'Kosten Technik'!$A$2:$E$74,2),"")</f>
        <v/>
      </c>
      <c r="C268" s="84"/>
      <c r="D268" s="84"/>
      <c r="E268" s="52" t="str">
        <f>IF($A268&gt;0,VLOOKUP($A268,'Kosten Technik'!$A$2:$E$74,4),"")</f>
        <v/>
      </c>
      <c r="F268" s="85" t="str">
        <f>IF($A268&gt;0,VLOOKUP($A268,'Kosten Technik'!$A$2:$E$74,5),"")</f>
        <v/>
      </c>
      <c r="G268" s="270" t="str">
        <f>+F268</f>
        <v/>
      </c>
      <c r="H268" s="86"/>
      <c r="I268" s="87"/>
      <c r="J268" s="82"/>
    </row>
    <row r="269" spans="1:13" ht="11.25" customHeight="1" x14ac:dyDescent="0.35">
      <c r="A269" s="83">
        <v>109</v>
      </c>
      <c r="B269" s="89" t="str">
        <f>IF($A269&gt;0,VLOOKUP($A269,'Kosten Technik'!$A$2:$E$74,2),"")</f>
        <v>Düngung kohls.Kalk im Lohnverfahren</v>
      </c>
      <c r="C269" s="89"/>
      <c r="D269" s="89"/>
      <c r="E269" s="52" t="str">
        <f>IF($A269&gt;0,VLOOKUP($A269,'Kosten Technik'!$A$2:$E$74,4),"")</f>
        <v>dt</v>
      </c>
      <c r="F269" s="85">
        <f>IF($A269&gt;0,VLOOKUP($A269,'Kosten Technik'!$A$2:$E$74,5),"")</f>
        <v>1</v>
      </c>
      <c r="G269" s="270">
        <f>+F269*C257+F269*C258+F269*C259</f>
        <v>9.33</v>
      </c>
      <c r="H269" s="86">
        <v>1</v>
      </c>
      <c r="I269" s="87">
        <v>1</v>
      </c>
      <c r="J269" s="93">
        <f>+I269*H269*G269</f>
        <v>9.33</v>
      </c>
    </row>
    <row r="270" spans="1:13" ht="11.25" customHeight="1" x14ac:dyDescent="0.35">
      <c r="A270" s="265"/>
      <c r="B270" s="89" t="s">
        <v>261</v>
      </c>
      <c r="C270" s="89"/>
      <c r="D270" s="89"/>
      <c r="E270" s="90"/>
      <c r="F270" s="91"/>
      <c r="G270" s="92"/>
      <c r="H270" s="266"/>
      <c r="I270" s="267"/>
      <c r="J270" s="93">
        <f>SUM(J263:J269)</f>
        <v>55.079999999999991</v>
      </c>
    </row>
    <row r="271" spans="1:13" ht="11.25" customHeight="1" x14ac:dyDescent="0.35">
      <c r="A271" s="64" t="s">
        <v>15</v>
      </c>
      <c r="B271" s="142" t="s">
        <v>263</v>
      </c>
      <c r="C271" s="65"/>
      <c r="D271" s="66"/>
      <c r="E271" s="67" t="s">
        <v>249</v>
      </c>
      <c r="F271" s="19" t="s">
        <v>250</v>
      </c>
      <c r="G271" s="19" t="s">
        <v>250</v>
      </c>
      <c r="H271" s="19" t="s">
        <v>264</v>
      </c>
      <c r="I271" s="19" t="s">
        <v>252</v>
      </c>
      <c r="J271" s="56"/>
    </row>
    <row r="272" spans="1:13" ht="11.25" customHeight="1" x14ac:dyDescent="0.35">
      <c r="A272" s="71"/>
      <c r="B272" s="71"/>
      <c r="C272" s="72"/>
      <c r="D272" s="73"/>
      <c r="E272" s="74"/>
      <c r="F272" s="146" t="s">
        <v>249</v>
      </c>
      <c r="G272" s="23" t="s">
        <v>232</v>
      </c>
      <c r="H272" s="23"/>
      <c r="I272" s="23" t="s">
        <v>255</v>
      </c>
      <c r="J272" s="23"/>
    </row>
    <row r="273" spans="1:10" ht="11.25" customHeight="1" x14ac:dyDescent="0.35">
      <c r="A273" s="83"/>
      <c r="B273" s="143" t="str">
        <f>IF($A273&gt;0,VLOOKUP($A273,'Kosten Technik'!$A$2:$E$74,2),"")</f>
        <v/>
      </c>
      <c r="C273" s="65"/>
      <c r="D273" s="66"/>
      <c r="E273" s="52" t="str">
        <f>IF($A273&gt;0,VLOOKUP($A273,'Kosten Technik'!$A$2:$E$74,4),"")</f>
        <v/>
      </c>
      <c r="F273" s="85" t="str">
        <f>IF($A273&gt;0,VLOOKUP($A273,'Kosten Technik'!$A$2:$E$74,5),"")</f>
        <v/>
      </c>
      <c r="G273" s="271"/>
      <c r="H273" s="226"/>
      <c r="I273" s="87"/>
      <c r="J273" s="82"/>
    </row>
    <row r="274" spans="1:10" ht="11.25" customHeight="1" x14ac:dyDescent="0.35">
      <c r="A274" s="83">
        <v>123</v>
      </c>
      <c r="B274" s="94" t="str">
        <f>IF($A274&gt;0,VLOOKUP($A274,'Kosten Technik'!$A$2:$E$74,2),"")</f>
        <v>Mineraldüngerlager, hofeigen</v>
      </c>
      <c r="C274" s="89"/>
      <c r="D274" s="144"/>
      <c r="E274" s="52" t="str">
        <f>IF($A274&gt;0,VLOOKUP($A274,'Kosten Technik'!$A$2:$E$74,4),"")</f>
        <v>dt</v>
      </c>
      <c r="F274" s="85">
        <f>IF($A274&gt;0,VLOOKUP($A274,'Kosten Technik'!$A$2:$E$74,5),"")</f>
        <v>1</v>
      </c>
      <c r="G274" s="271"/>
      <c r="H274" s="226">
        <f>C260-C257-C258-C259</f>
        <v>6.0700000000000021</v>
      </c>
      <c r="I274" s="87">
        <v>1</v>
      </c>
      <c r="J274" s="93">
        <f>+I274*F274*H274</f>
        <v>6.0700000000000021</v>
      </c>
    </row>
    <row r="275" spans="1:10" ht="11.25" customHeight="1" x14ac:dyDescent="0.35">
      <c r="A275" s="265"/>
      <c r="B275" s="89" t="s">
        <v>265</v>
      </c>
      <c r="C275" s="89"/>
      <c r="D275" s="89"/>
      <c r="E275" s="52"/>
      <c r="F275" s="85"/>
      <c r="G275" s="145"/>
      <c r="H275" s="268"/>
      <c r="I275" s="267"/>
      <c r="J275" s="93">
        <f>SUM(J273:J274)</f>
        <v>6.0700000000000021</v>
      </c>
    </row>
    <row r="276" spans="1:10" ht="11.25" customHeight="1" x14ac:dyDescent="0.35">
      <c r="A276" s="64" t="s">
        <v>15</v>
      </c>
      <c r="B276" s="496" t="s">
        <v>266</v>
      </c>
      <c r="C276" s="65"/>
      <c r="D276" s="66"/>
      <c r="E276" s="67" t="s">
        <v>249</v>
      </c>
      <c r="F276" s="19" t="s">
        <v>250</v>
      </c>
      <c r="G276" s="19" t="s">
        <v>250</v>
      </c>
      <c r="H276" s="19" t="s">
        <v>264</v>
      </c>
      <c r="I276" s="19" t="s">
        <v>252</v>
      </c>
      <c r="J276" s="56"/>
    </row>
    <row r="277" spans="1:10" ht="11.25" customHeight="1" x14ac:dyDescent="0.35">
      <c r="A277" s="71"/>
      <c r="B277" s="71"/>
      <c r="C277" s="72"/>
      <c r="D277" s="73"/>
      <c r="E277" s="74"/>
      <c r="F277" s="146" t="s">
        <v>249</v>
      </c>
      <c r="G277" s="23" t="s">
        <v>232</v>
      </c>
      <c r="H277" s="23"/>
      <c r="I277" s="23" t="s">
        <v>255</v>
      </c>
      <c r="J277" s="23"/>
    </row>
    <row r="278" spans="1:10" ht="11.25" customHeight="1" x14ac:dyDescent="0.35">
      <c r="A278" s="77">
        <v>141</v>
      </c>
      <c r="B278" s="143" t="str">
        <f>IF($A278&gt;0,VLOOKUP($A278,'Kosten Technik'!$A$2:$E$74,2),"")</f>
        <v>LKW-Lieferung unter 100 km</v>
      </c>
      <c r="C278" s="78"/>
      <c r="D278" s="111"/>
      <c r="E278" s="51" t="str">
        <f>IF($A278&gt;0,VLOOKUP($A278,'Kosten Technik'!$A$2:$E$74,4),"")</f>
        <v>dt</v>
      </c>
      <c r="F278" s="79">
        <f>IF($A278&gt;0,VLOOKUP($A278,'Kosten Technik'!$A$2:$E$74,5),0)</f>
        <v>0.9</v>
      </c>
      <c r="G278" s="196"/>
      <c r="H278" s="225">
        <f>SUM(C252:C256)</f>
        <v>6.07</v>
      </c>
      <c r="I278" s="81">
        <v>1</v>
      </c>
      <c r="J278" s="112">
        <f>+I278*F278*H278</f>
        <v>5.4630000000000001</v>
      </c>
    </row>
    <row r="279" spans="1:10" ht="11.25" customHeight="1" x14ac:dyDescent="0.35">
      <c r="A279" s="83">
        <v>141</v>
      </c>
      <c r="B279" s="94" t="str">
        <f>IF($A279&gt;0,VLOOKUP($A279,'Kosten Technik'!$A$2:$E$74,2),"")</f>
        <v>LKW-Lieferung unter 100 km</v>
      </c>
      <c r="C279" s="89"/>
      <c r="D279" s="144"/>
      <c r="E279" s="52" t="str">
        <f>IF($A279&gt;0,VLOOKUP($A279,'Kosten Technik'!$A$2:$E$74,4),"")</f>
        <v>dt</v>
      </c>
      <c r="F279" s="85">
        <f>IF($A279&gt;0,VLOOKUP($A279,'Kosten Technik'!$A$2:$E$74,5),0)</f>
        <v>0.9</v>
      </c>
      <c r="G279" s="196"/>
      <c r="H279" s="226">
        <f>SUM(C257:C259)</f>
        <v>9.33</v>
      </c>
      <c r="I279" s="87">
        <v>1</v>
      </c>
      <c r="J279" s="93">
        <f>+I279*F279*H279</f>
        <v>8.3970000000000002</v>
      </c>
    </row>
    <row r="280" spans="1:10" ht="11.25" customHeight="1" x14ac:dyDescent="0.35">
      <c r="A280" s="265"/>
      <c r="B280" s="260" t="s">
        <v>267</v>
      </c>
      <c r="C280" s="89"/>
      <c r="D280" s="89"/>
      <c r="E280" s="52"/>
      <c r="F280" s="85"/>
      <c r="G280" s="145"/>
      <c r="H280" s="268"/>
      <c r="I280" s="267"/>
      <c r="J280" s="93">
        <f>SUM(J278:J279)</f>
        <v>13.86</v>
      </c>
    </row>
    <row r="281" spans="1:10" ht="11.25" customHeight="1" x14ac:dyDescent="0.4">
      <c r="A281" s="143"/>
      <c r="B281" s="331" t="s">
        <v>268</v>
      </c>
      <c r="C281" s="332"/>
      <c r="D281" s="332"/>
      <c r="E281" s="333"/>
      <c r="F281" s="333"/>
      <c r="G281" s="332"/>
      <c r="H281" s="332"/>
      <c r="I281" s="334"/>
      <c r="J281" s="335">
        <f>J260+J270+J275+J280</f>
        <v>297.35079999999999</v>
      </c>
    </row>
    <row r="282" spans="1:10" ht="11.25" customHeight="1" x14ac:dyDescent="0.4">
      <c r="A282" s="337"/>
      <c r="B282" s="338"/>
      <c r="C282" s="339"/>
      <c r="D282" s="339"/>
      <c r="E282" s="340"/>
      <c r="F282" s="340"/>
      <c r="G282" s="339"/>
      <c r="H282" s="339"/>
      <c r="I282" s="341"/>
      <c r="J282" s="342"/>
    </row>
    <row r="283" spans="1:10" ht="11.25" customHeight="1" x14ac:dyDescent="0.4">
      <c r="A283" s="135"/>
      <c r="B283" s="136"/>
      <c r="C283" s="137"/>
      <c r="D283" s="137"/>
      <c r="E283" s="138"/>
      <c r="F283" s="138"/>
      <c r="G283" s="137"/>
      <c r="H283" s="137"/>
      <c r="I283" s="139"/>
      <c r="J283" s="140"/>
    </row>
    <row r="284" spans="1:10" ht="11.25" customHeight="1" x14ac:dyDescent="0.4">
      <c r="A284" s="135"/>
      <c r="B284" s="136"/>
      <c r="C284" s="137"/>
      <c r="D284" s="137"/>
      <c r="E284" s="138"/>
      <c r="F284" s="138"/>
      <c r="G284" s="137"/>
      <c r="H284" s="137"/>
      <c r="I284" s="139"/>
      <c r="J284" s="140"/>
    </row>
    <row r="285" spans="1:10" ht="11.25" customHeight="1" x14ac:dyDescent="0.4">
      <c r="A285" s="343"/>
      <c r="B285" s="344"/>
      <c r="C285" s="257"/>
      <c r="D285" s="257"/>
      <c r="E285" s="345"/>
      <c r="F285" s="345"/>
      <c r="G285" s="257"/>
      <c r="H285" s="257"/>
      <c r="I285" s="346"/>
      <c r="J285" s="347"/>
    </row>
    <row r="286" spans="1:10" ht="12.25" customHeight="1" x14ac:dyDescent="0.4">
      <c r="A286" s="504" t="s">
        <v>280</v>
      </c>
      <c r="B286" s="506" t="s">
        <v>281</v>
      </c>
      <c r="C286" s="336"/>
      <c r="D286" s="506"/>
      <c r="E286" s="506"/>
      <c r="F286" s="506"/>
      <c r="G286" s="506"/>
      <c r="H286" s="469"/>
      <c r="I286" s="469"/>
      <c r="J286" s="507"/>
    </row>
    <row r="287" spans="1:10" x14ac:dyDescent="0.35">
      <c r="A287" s="18" t="s">
        <v>15</v>
      </c>
      <c r="B287" s="19" t="s">
        <v>81</v>
      </c>
      <c r="C287" s="19" t="s">
        <v>243</v>
      </c>
      <c r="D287" s="19" t="s">
        <v>22</v>
      </c>
      <c r="E287" s="20" t="s">
        <v>71</v>
      </c>
      <c r="F287" s="19" t="s">
        <v>74</v>
      </c>
      <c r="G287" s="20" t="s">
        <v>23</v>
      </c>
      <c r="H287" s="19" t="s">
        <v>25</v>
      </c>
      <c r="I287" s="19" t="s">
        <v>24</v>
      </c>
      <c r="J287" s="19" t="s">
        <v>244</v>
      </c>
    </row>
    <row r="288" spans="1:10" x14ac:dyDescent="0.35">
      <c r="A288" s="48"/>
      <c r="B288" s="103"/>
      <c r="C288" s="24" t="s">
        <v>233</v>
      </c>
      <c r="D288" s="24" t="s">
        <v>234</v>
      </c>
      <c r="E288" s="49" t="s">
        <v>234</v>
      </c>
      <c r="F288" s="50" t="s">
        <v>234</v>
      </c>
      <c r="G288" s="49" t="s">
        <v>234</v>
      </c>
      <c r="H288" s="50" t="s">
        <v>234</v>
      </c>
      <c r="I288" s="50" t="s">
        <v>234</v>
      </c>
      <c r="J288" s="24" t="s">
        <v>245</v>
      </c>
    </row>
    <row r="289" spans="1:10" x14ac:dyDescent="0.35">
      <c r="A289" s="77">
        <v>3</v>
      </c>
      <c r="B289" s="52" t="str">
        <f>IF($A289&gt;0,VLOOKUP($A289,Düngemittel!$A$3:$I$510,2),"")</f>
        <v>Harnstoff, 46 % N, stabilisiert</v>
      </c>
      <c r="C289" s="231">
        <v>3.5</v>
      </c>
      <c r="D289" s="54">
        <f>IF($A289&gt;0,$C289*VLOOKUP($A289,Düngemittel!$A$3:$M$510,3),0)</f>
        <v>161</v>
      </c>
      <c r="E289" s="54">
        <f>IF($A289&gt;0,$C289*VLOOKUP($A289,Düngemittel!$A$3:$M$510,4),0)</f>
        <v>0</v>
      </c>
      <c r="F289" s="54">
        <f>IF($A289&gt;0,$C289*VLOOKUP($A289,Düngemittel!$A$3:$M$510,5),0)</f>
        <v>0</v>
      </c>
      <c r="G289" s="54">
        <f>IF($A289&gt;0,$C289*VLOOKUP($A289,Düngemittel!$A$3:$M$510,6),0)</f>
        <v>0</v>
      </c>
      <c r="H289" s="54">
        <f>IF($A289&gt;0,$C289*VLOOKUP($A289,Düngemittel!$A$3:$M$510,8),0)</f>
        <v>-161</v>
      </c>
      <c r="I289" s="55">
        <f>IF($A289&gt;0,$C289*VLOOKUP($A289,Düngemittel!$A$3:$M$510,7),0)</f>
        <v>0</v>
      </c>
      <c r="J289" s="237">
        <f>IF($A289&gt;0,VLOOKUP($A289,Düngemittel!$A$3:$S$510,10)*$C289,0)</f>
        <v>113.75</v>
      </c>
    </row>
    <row r="290" spans="1:10" x14ac:dyDescent="0.35">
      <c r="A290" s="83">
        <v>9</v>
      </c>
      <c r="B290" s="52" t="str">
        <f>IF($A290&gt;0,VLOOKUP($A290,Düngemittel!$A$3:$I$1362,2),"")</f>
        <v>Schwefelsaures Amoniak 21% N + 24% S,</v>
      </c>
      <c r="C290" s="53">
        <v>0.62</v>
      </c>
      <c r="D290" s="54">
        <f>IF($A290&gt;0,$C290*VLOOKUP($A290,Düngemittel!$A$3:$M$510,3),0)</f>
        <v>13.02</v>
      </c>
      <c r="E290" s="54">
        <f>IF($A290&gt;0,$C290*VLOOKUP($A290,Düngemittel!$A$3:$M$510,4),0)</f>
        <v>0</v>
      </c>
      <c r="F290" s="54">
        <f>IF($A290&gt;0,$C290*VLOOKUP($A290,Düngemittel!$A$3:$M$510,5),0)</f>
        <v>0</v>
      </c>
      <c r="G290" s="54">
        <f>IF($A290&gt;0,$C290*VLOOKUP($A290,Düngemittel!$A$3:$M$510,6),0)</f>
        <v>0</v>
      </c>
      <c r="H290" s="54">
        <f>IF($A290&gt;0,$C290*VLOOKUP($A290,Düngemittel!$A$3:$M$510,8),0)</f>
        <v>-39.06</v>
      </c>
      <c r="I290" s="55">
        <f>IF($A290&gt;0,$C290*VLOOKUP($A290,Düngemittel!$A$3:$M$510,7),0)</f>
        <v>14.879999999999999</v>
      </c>
      <c r="J290" s="237">
        <f>IF($A290&gt;0,VLOOKUP($A290,Düngemittel!$A$3:$S$510,10)*$C290,0)</f>
        <v>16.733799999999999</v>
      </c>
    </row>
    <row r="291" spans="1:10" x14ac:dyDescent="0.35">
      <c r="A291" s="83">
        <v>45</v>
      </c>
      <c r="B291" s="52" t="str">
        <f>IF($A291&gt;0,VLOOKUP($A291,Düngemittel!$A$3:$I$1362,2),"")</f>
        <v>Triple-Phosphat, 46 % P2O5</v>
      </c>
      <c r="C291" s="53">
        <v>1.1499999999999999</v>
      </c>
      <c r="D291" s="54">
        <f>IF($A291&gt;0,$C291*VLOOKUP($A291,Düngemittel!$A$3:$M$510,3),0)</f>
        <v>0</v>
      </c>
      <c r="E291" s="54">
        <f>IF($A291&gt;0,$C291*VLOOKUP($A291,Düngemittel!$A$3:$M$510,4),0)</f>
        <v>51.749999999999993</v>
      </c>
      <c r="F291" s="54">
        <f>IF($A291&gt;0,$C291*VLOOKUP($A291,Düngemittel!$A$3:$M$510,5),0)</f>
        <v>0</v>
      </c>
      <c r="G291" s="54">
        <f>IF($A291&gt;0,$C291*VLOOKUP($A291,Düngemittel!$A$3:$M$510,6),0)</f>
        <v>0</v>
      </c>
      <c r="H291" s="54">
        <f>IF($A291&gt;0,$C291*VLOOKUP($A291,Düngemittel!$A$3:$M$510,8),0)</f>
        <v>-3.4499999999999997</v>
      </c>
      <c r="I291" s="55">
        <f>IF($A291&gt;0,$C291*VLOOKUP($A291,Düngemittel!$A$3:$M$510,7),0)</f>
        <v>0</v>
      </c>
      <c r="J291" s="237">
        <f>IF($A291&gt;0,VLOOKUP($A291,Düngemittel!$A$3:$S$510,10)*$C291,0)</f>
        <v>44.39</v>
      </c>
    </row>
    <row r="292" spans="1:10" x14ac:dyDescent="0.35">
      <c r="A292" s="83">
        <v>49</v>
      </c>
      <c r="B292" s="52" t="str">
        <f>IF($A292&gt;0,VLOOKUP($A292,Düngemittel!$A$3:$I$1362,2),"")</f>
        <v>40er Kornkali + Mg 40 % K2O+6%MgO</v>
      </c>
      <c r="C292" s="53">
        <v>1.57</v>
      </c>
      <c r="D292" s="54">
        <f>IF($A292&gt;0,$C292*VLOOKUP($A292,Düngemittel!$A$3:$M$510,3),0)</f>
        <v>0</v>
      </c>
      <c r="E292" s="54">
        <f>IF($A292&gt;0,$C292*VLOOKUP($A292,Düngemittel!$A$3:$M$510,4),0)</f>
        <v>0</v>
      </c>
      <c r="F292" s="54">
        <f>IF($A292&gt;0,$C292*VLOOKUP($A292,Düngemittel!$A$3:$M$510,5),0)</f>
        <v>62.800000000000004</v>
      </c>
      <c r="G292" s="54">
        <f>IF($A292&gt;0,$C292*VLOOKUP($A292,Düngemittel!$A$3:$M$510,6),0)</f>
        <v>9.42</v>
      </c>
      <c r="H292" s="54">
        <f>IF($A292&gt;0,$C292*VLOOKUP($A292,Düngemittel!$A$3:$M$510,8),0)</f>
        <v>0</v>
      </c>
      <c r="I292" s="55">
        <f>IF($A292&gt;0,$C292*VLOOKUP($A292,Düngemittel!$A$3:$M$510,7),0)</f>
        <v>6.28</v>
      </c>
      <c r="J292" s="237">
        <f>IF($A292&gt;0,VLOOKUP($A292,Düngemittel!$A$3:$S$510,10)*$C292,0)</f>
        <v>36.957799999999999</v>
      </c>
    </row>
    <row r="293" spans="1:10" x14ac:dyDescent="0.35">
      <c r="A293" s="83"/>
      <c r="B293" s="52" t="str">
        <f>IF($A293&gt;0,VLOOKUP($A293,Düngemittel!$A$3:$I$1362,2),"")</f>
        <v/>
      </c>
      <c r="C293" s="53"/>
      <c r="D293" s="54">
        <f>IF($A293&gt;0,$C293*VLOOKUP($A293,Düngemittel!$A$3:$M$510,3),0)</f>
        <v>0</v>
      </c>
      <c r="E293" s="54">
        <f>IF($A293&gt;0,$C293*VLOOKUP($A293,Düngemittel!$A$3:$M$510,4),0)</f>
        <v>0</v>
      </c>
      <c r="F293" s="54">
        <f>IF($A293&gt;0,$C293*VLOOKUP($A293,Düngemittel!$A$3:$M$510,5),0)</f>
        <v>0</v>
      </c>
      <c r="G293" s="54">
        <f>IF($A293&gt;0,$C293*VLOOKUP($A293,Düngemittel!$A$3:$M$510,6),0)</f>
        <v>0</v>
      </c>
      <c r="H293" s="54">
        <f>IF($A293&gt;0,$C293*VLOOKUP($A293,Düngemittel!$A$3:$M$510,8),0)</f>
        <v>0</v>
      </c>
      <c r="I293" s="55">
        <f>IF($A293&gt;0,$C293*VLOOKUP($A293,Düngemittel!$A$3:$M$510,7),0)</f>
        <v>0</v>
      </c>
      <c r="J293" s="237">
        <f>IF($A293&gt;0,VLOOKUP($A293,Düngemittel!$A$3:$S$510,10)*$C293,0)</f>
        <v>0</v>
      </c>
    </row>
    <row r="294" spans="1:10" x14ac:dyDescent="0.35">
      <c r="A294" s="83"/>
      <c r="B294" s="52" t="str">
        <f>IF($A294&gt;0,VLOOKUP($A294,Düngemittel!$A$3:$I$1362,2),"")</f>
        <v/>
      </c>
      <c r="C294" s="53"/>
      <c r="D294" s="54">
        <f>IF($A294&gt;0,$C294*VLOOKUP($A294,Düngemittel!$A$3:$M$510,3),0)</f>
        <v>0</v>
      </c>
      <c r="E294" s="54">
        <f>IF($A294&gt;0,$C294*VLOOKUP($A294,Düngemittel!$A$3:$M$510,4),0)</f>
        <v>0</v>
      </c>
      <c r="F294" s="54">
        <f>IF($A294&gt;0,$C294*VLOOKUP($A294,Düngemittel!$A$3:$M$510,5),0)</f>
        <v>0</v>
      </c>
      <c r="G294" s="54">
        <f>IF($A294&gt;0,$C294*VLOOKUP($A294,Düngemittel!$A$3:$M$510,6),0)</f>
        <v>0</v>
      </c>
      <c r="H294" s="54">
        <f>IF($A294&gt;0,$C294*VLOOKUP($A294,Düngemittel!$A$3:$M$510,8),0)</f>
        <v>0</v>
      </c>
      <c r="I294" s="55">
        <f>IF($A294&gt;0,$C294*VLOOKUP($A294,Düngemittel!$A$3:$M$510,7),0)</f>
        <v>0</v>
      </c>
      <c r="J294" s="237">
        <f>IF($A294&gt;0,VLOOKUP($A294,Düngemittel!$A$3:$S$510,10)*$C294,0)</f>
        <v>0</v>
      </c>
    </row>
    <row r="295" spans="1:10" x14ac:dyDescent="0.35">
      <c r="A295" s="83">
        <v>83</v>
      </c>
      <c r="B295" s="52" t="str">
        <f>IF($A295&gt;0,VLOOKUP($A295,Düngemittel!$A$3:$I$1362,2),"")</f>
        <v>Kohlensauer Kalk, 80 % CaCO3 + 5 MgCO3</v>
      </c>
      <c r="C295" s="53">
        <v>8.66</v>
      </c>
      <c r="D295" s="54">
        <f>IF($A295&gt;0,$C295*VLOOKUP($A295,Düngemittel!$A$3:$M$510,3),0)</f>
        <v>0</v>
      </c>
      <c r="E295" s="54">
        <f>IF($A295&gt;0,$C295*VLOOKUP($A295,Düngemittel!$A$3:$M$510,4),0)</f>
        <v>0</v>
      </c>
      <c r="F295" s="54">
        <f>IF($A295&gt;0,$C295*VLOOKUP($A295,Düngemittel!$A$3:$M$510,5),0)</f>
        <v>0</v>
      </c>
      <c r="G295" s="54">
        <f>IF($A295&gt;0,$C295*VLOOKUP($A295,Düngemittel!$A$3:$M$510,6),0)</f>
        <v>17.32</v>
      </c>
      <c r="H295" s="54">
        <f>IF($A295&gt;0,$C295*VLOOKUP($A295,Düngemittel!$A$3:$M$510,8),0)</f>
        <v>415.68</v>
      </c>
      <c r="I295" s="55">
        <f>IF($A295&gt;0,$C295*VLOOKUP($A295,Düngemittel!$A$3:$M$510,7),0)</f>
        <v>0</v>
      </c>
      <c r="J295" s="237">
        <f>IF($A295&gt;0,VLOOKUP($A295,Düngemittel!$A$3:$S$510,10)*$C295,0)</f>
        <v>24.767599999999998</v>
      </c>
    </row>
    <row r="296" spans="1:10" x14ac:dyDescent="0.35">
      <c r="A296" s="27"/>
      <c r="B296" s="90" t="str">
        <f>IF($A296&gt;0,VLOOKUP($A296,Düngemittel!$A$3:$I$1362,2),"")</f>
        <v/>
      </c>
      <c r="C296" s="214"/>
      <c r="D296" s="54">
        <f>IF($A296&gt;0,$C296*VLOOKUP($A296,Düngemittel!$A$3:$M$510,3),0)</f>
        <v>0</v>
      </c>
      <c r="E296" s="54">
        <f>IF($A296&gt;0,$C296*VLOOKUP($A296,Düngemittel!$A$3:$M$510,4),0)</f>
        <v>0</v>
      </c>
      <c r="F296" s="54">
        <f>IF($A296&gt;0,$C296*VLOOKUP($A296,Düngemittel!$A$3:$M$510,5),0)</f>
        <v>0</v>
      </c>
      <c r="G296" s="54">
        <f>IF($A296&gt;0,$C296*VLOOKUP($A296,Düngemittel!$A$3:$M$510,6),0)</f>
        <v>0</v>
      </c>
      <c r="H296" s="54">
        <f>IF($A296&gt;0,$C296*VLOOKUP($A296,Düngemittel!$A$3:$M$510,8),0)</f>
        <v>0</v>
      </c>
      <c r="I296" s="55">
        <f>IF($A296&gt;0,$C296*VLOOKUP($A296,Düngemittel!$A$3:$M$510,7),0)</f>
        <v>0</v>
      </c>
      <c r="J296" s="308">
        <f>IF($A296&gt;0,VLOOKUP($A296,Düngemittel!$A$3:$S$510,10)*$C296,0)</f>
        <v>0</v>
      </c>
    </row>
    <row r="297" spans="1:10" x14ac:dyDescent="0.35">
      <c r="A297" s="192"/>
      <c r="B297" s="52" t="s">
        <v>246</v>
      </c>
      <c r="C297" s="264">
        <f>SUM(C289:C296)</f>
        <v>15.5</v>
      </c>
      <c r="D297" s="57"/>
      <c r="E297" s="57"/>
      <c r="F297" s="57"/>
      <c r="G297" s="57"/>
      <c r="H297" s="57"/>
      <c r="I297" s="58"/>
      <c r="J297" s="60">
        <f>SUM(J289:J296)</f>
        <v>236.5992</v>
      </c>
    </row>
    <row r="298" spans="1:10" x14ac:dyDescent="0.35">
      <c r="A298" s="224" t="s">
        <v>247</v>
      </c>
      <c r="B298" s="43"/>
      <c r="C298" s="129"/>
      <c r="D298" s="59">
        <f t="shared" ref="D298:I298" si="10">SUM(D289:D296)-E$24</f>
        <v>-0.27747999999999706</v>
      </c>
      <c r="E298" s="59">
        <f t="shared" si="10"/>
        <v>-6.1821812999994563E-2</v>
      </c>
      <c r="F298" s="59">
        <f t="shared" si="10"/>
        <v>-0.29568736799999584</v>
      </c>
      <c r="G298" s="59">
        <f t="shared" si="10"/>
        <v>0.20236321200000162</v>
      </c>
      <c r="H298" s="59">
        <f t="shared" si="10"/>
        <v>-0.38577847999997061</v>
      </c>
      <c r="I298" s="59">
        <f t="shared" si="10"/>
        <v>-2.4935799999997954E-2</v>
      </c>
      <c r="J298" s="60"/>
    </row>
    <row r="299" spans="1:10" x14ac:dyDescent="0.35">
      <c r="A299" s="64" t="s">
        <v>15</v>
      </c>
      <c r="B299" s="64" t="s">
        <v>248</v>
      </c>
      <c r="C299" s="130"/>
      <c r="D299" s="106"/>
      <c r="E299" s="67"/>
      <c r="F299" s="20" t="s">
        <v>250</v>
      </c>
      <c r="G299" s="19" t="s">
        <v>250</v>
      </c>
      <c r="H299" s="19" t="s">
        <v>251</v>
      </c>
      <c r="I299" s="19" t="s">
        <v>252</v>
      </c>
      <c r="J299" s="107"/>
    </row>
    <row r="300" spans="1:10" ht="12.3" x14ac:dyDescent="0.4">
      <c r="A300" s="71"/>
      <c r="B300" s="500"/>
      <c r="C300" s="108"/>
      <c r="D300" s="109"/>
      <c r="E300" s="74" t="s">
        <v>249</v>
      </c>
      <c r="F300" s="75" t="s">
        <v>249</v>
      </c>
      <c r="G300" s="23" t="s">
        <v>232</v>
      </c>
      <c r="H300" s="76" t="s">
        <v>254</v>
      </c>
      <c r="I300" s="23" t="s">
        <v>255</v>
      </c>
      <c r="J300" s="23"/>
    </row>
    <row r="301" spans="1:10" x14ac:dyDescent="0.35">
      <c r="A301" s="83">
        <v>107</v>
      </c>
      <c r="B301" s="84" t="str">
        <f>IF($A301&gt;0,VLOOKUP($A301,'Kosten Technik'!$A$2:$E$74,2),"")</f>
        <v>Düngung mit Kreiselstreuer, 24 m</v>
      </c>
      <c r="C301" s="84"/>
      <c r="D301" s="84"/>
      <c r="E301" s="51" t="str">
        <f>IF($A301&gt;0,VLOOKUP($A301,'Kosten Technik'!$A$2:$E$74,4),"")</f>
        <v>ha</v>
      </c>
      <c r="F301" s="79">
        <f>IF($A301&gt;0,VLOOKUP($A301,'Kosten Technik'!$A$2:$E$74,5),"")</f>
        <v>13.2</v>
      </c>
      <c r="G301" s="269">
        <f>+F301</f>
        <v>13.2</v>
      </c>
      <c r="H301" s="80">
        <v>3</v>
      </c>
      <c r="I301" s="81">
        <v>1</v>
      </c>
      <c r="J301" s="82">
        <f>+I301*H301*G301</f>
        <v>39.599999999999994</v>
      </c>
    </row>
    <row r="302" spans="1:10" x14ac:dyDescent="0.35">
      <c r="A302" s="83"/>
      <c r="B302" s="84" t="str">
        <f>IF($A302&gt;0,VLOOKUP($A302,'Kosten Technik'!$A$2:$E$74,2),"")</f>
        <v/>
      </c>
      <c r="C302" s="84"/>
      <c r="D302" s="84"/>
      <c r="E302" s="52" t="str">
        <f>IF($A302&gt;0,VLOOKUP($A302,'Kosten Technik'!$A$2:$E$74,4),"")</f>
        <v/>
      </c>
      <c r="F302" s="85" t="str">
        <f>IF($A302&gt;0,VLOOKUP($A302,'Kosten Technik'!$A$2:$E$74,5),"")</f>
        <v/>
      </c>
      <c r="G302" s="270" t="str">
        <f>+F302</f>
        <v/>
      </c>
      <c r="H302" s="86"/>
      <c r="I302" s="87"/>
      <c r="J302" s="82"/>
    </row>
    <row r="303" spans="1:10" hidden="1" x14ac:dyDescent="0.35">
      <c r="A303" s="83"/>
      <c r="B303" s="84" t="str">
        <f>IF($A303&gt;0,VLOOKUP($A303,'Kosten Technik'!$A$2:$E$74,2),"")</f>
        <v/>
      </c>
      <c r="C303" s="84"/>
      <c r="D303" s="84"/>
      <c r="E303" s="52" t="str">
        <f>IF($A303&gt;0,VLOOKUP($A303,'Kosten Technik'!$A$2:$E$74,4),"")</f>
        <v/>
      </c>
      <c r="F303" s="85" t="str">
        <f>IF($A303&gt;0,VLOOKUP($A303,'Kosten Technik'!$A$2:$E$74,5),"")</f>
        <v/>
      </c>
      <c r="G303" s="270"/>
      <c r="H303" s="86"/>
      <c r="I303" s="87"/>
      <c r="J303" s="82"/>
    </row>
    <row r="304" spans="1:10" hidden="1" x14ac:dyDescent="0.35">
      <c r="A304" s="83"/>
      <c r="B304" s="84" t="str">
        <f>IF($A304&gt;0,VLOOKUP($A304,'Kosten Technik'!$A$2:$E$74,2),"")</f>
        <v/>
      </c>
      <c r="C304" s="84"/>
      <c r="D304" s="84"/>
      <c r="E304" s="52" t="str">
        <f>IF($A304&gt;0,VLOOKUP($A304,'Kosten Technik'!$A$2:$E$74,4),"")</f>
        <v/>
      </c>
      <c r="F304" s="85" t="str">
        <f>IF($A304&gt;0,VLOOKUP($A304,'Kosten Technik'!$A$2:$E$74,5),"")</f>
        <v/>
      </c>
      <c r="G304" s="270"/>
      <c r="H304" s="86"/>
      <c r="I304" s="87"/>
      <c r="J304" s="82"/>
    </row>
    <row r="305" spans="1:10" x14ac:dyDescent="0.35">
      <c r="A305" s="83">
        <v>105</v>
      </c>
      <c r="B305" s="84" t="str">
        <f>IF($A305&gt;0,VLOOKUP($A305,'Kosten Technik'!$A$2:$E$74,2),"")</f>
        <v xml:space="preserve">Düngung mit Großbehälterstreuer </v>
      </c>
      <c r="C305" s="84"/>
      <c r="D305" s="84"/>
      <c r="E305" s="52" t="str">
        <f>IF($A305&gt;0,VLOOKUP($A305,'Kosten Technik'!$A$2:$E$74,4),"")</f>
        <v>dt</v>
      </c>
      <c r="F305" s="85">
        <f>IF($A305&gt;0,VLOOKUP($A305,'Kosten Technik'!$A$2:$E$74,5),"")</f>
        <v>3</v>
      </c>
      <c r="G305" s="85">
        <f>IF($A305&gt;0,VLOOKUP($A305,'Kosten Technik'!$A$2:$E$74,5),"")</f>
        <v>3</v>
      </c>
      <c r="H305" s="86">
        <v>2.72</v>
      </c>
      <c r="I305" s="132">
        <v>1</v>
      </c>
      <c r="J305" s="82">
        <f>+I305*H305*G305</f>
        <v>8.16</v>
      </c>
    </row>
    <row r="306" spans="1:10" x14ac:dyDescent="0.35">
      <c r="A306" s="83">
        <v>109</v>
      </c>
      <c r="B306" s="89" t="str">
        <f>IF($A306&gt;0,VLOOKUP($A306,'Kosten Technik'!$A$2:$E$74,2),"")</f>
        <v>Düngung kohls.Kalk im Lohnverfahren</v>
      </c>
      <c r="C306" s="89"/>
      <c r="D306" s="89"/>
      <c r="E306" s="52" t="str">
        <f>IF($A306&gt;0,VLOOKUP($A306,'Kosten Technik'!$A$2:$E$74,4),"")</f>
        <v>dt</v>
      </c>
      <c r="F306" s="85">
        <f>IF($A306&gt;0,VLOOKUP($A306,'Kosten Technik'!$A$2:$E$74,5),"")</f>
        <v>1</v>
      </c>
      <c r="G306" s="196">
        <f>+F306*C294+F306*C295+F306*C296</f>
        <v>8.66</v>
      </c>
      <c r="H306" s="86">
        <v>1</v>
      </c>
      <c r="I306" s="132">
        <v>1</v>
      </c>
      <c r="J306" s="82">
        <f>+I306*H306*G306</f>
        <v>8.66</v>
      </c>
    </row>
    <row r="307" spans="1:10" x14ac:dyDescent="0.35">
      <c r="A307" s="265"/>
      <c r="B307" s="89" t="s">
        <v>261</v>
      </c>
      <c r="C307" s="89"/>
      <c r="D307" s="89"/>
      <c r="E307" s="90"/>
      <c r="F307" s="91"/>
      <c r="G307" s="92"/>
      <c r="H307" s="266"/>
      <c r="I307" s="267"/>
      <c r="J307" s="93">
        <f>SUM(J300:J306)</f>
        <v>56.419999999999987</v>
      </c>
    </row>
    <row r="308" spans="1:10" x14ac:dyDescent="0.35">
      <c r="A308" s="64" t="s">
        <v>15</v>
      </c>
      <c r="B308" s="142" t="s">
        <v>263</v>
      </c>
      <c r="C308" s="65"/>
      <c r="D308" s="66"/>
      <c r="E308" s="67" t="s">
        <v>249</v>
      </c>
      <c r="F308" s="19" t="s">
        <v>250</v>
      </c>
      <c r="G308" s="19" t="s">
        <v>250</v>
      </c>
      <c r="H308" s="19" t="s">
        <v>264</v>
      </c>
      <c r="I308" s="19" t="s">
        <v>252</v>
      </c>
      <c r="J308" s="56"/>
    </row>
    <row r="309" spans="1:10" x14ac:dyDescent="0.35">
      <c r="A309" s="71"/>
      <c r="B309" s="71"/>
      <c r="C309" s="72"/>
      <c r="D309" s="73"/>
      <c r="E309" s="74"/>
      <c r="F309" s="146" t="s">
        <v>249</v>
      </c>
      <c r="G309" s="23" t="s">
        <v>232</v>
      </c>
      <c r="H309" s="23"/>
      <c r="I309" s="23" t="s">
        <v>255</v>
      </c>
      <c r="J309" s="23"/>
    </row>
    <row r="310" spans="1:10" x14ac:dyDescent="0.35">
      <c r="A310" s="83"/>
      <c r="B310" s="143" t="str">
        <f>IF($A310&gt;0,VLOOKUP($A310,'Kosten Technik'!$A$2:$E$74,2),"")</f>
        <v/>
      </c>
      <c r="C310" s="65"/>
      <c r="D310" s="66"/>
      <c r="E310" s="52" t="str">
        <f>IF($A310&gt;0,VLOOKUP($A310,'Kosten Technik'!$A$2:$E$74,4),"")</f>
        <v/>
      </c>
      <c r="F310" s="85" t="str">
        <f>IF($A310&gt;0,VLOOKUP($A310,'Kosten Technik'!$A$2:$E$74,5),"")</f>
        <v/>
      </c>
      <c r="G310" s="271"/>
      <c r="H310" s="226"/>
      <c r="I310" s="87"/>
      <c r="J310" s="82"/>
    </row>
    <row r="311" spans="1:10" x14ac:dyDescent="0.35">
      <c r="A311" s="83">
        <v>123</v>
      </c>
      <c r="B311" s="94" t="str">
        <f>IF($A311&gt;0,VLOOKUP($A311,'Kosten Technik'!$A$2:$E$74,2),"")</f>
        <v>Mineraldüngerlager, hofeigen</v>
      </c>
      <c r="C311" s="89"/>
      <c r="D311" s="144"/>
      <c r="E311" s="52" t="str">
        <f>IF($A311&gt;0,VLOOKUP($A311,'Kosten Technik'!$A$2:$E$74,4),"")</f>
        <v>dt</v>
      </c>
      <c r="F311" s="85">
        <f>IF($A311&gt;0,VLOOKUP($A311,'Kosten Technik'!$A$2:$E$74,5),"")</f>
        <v>1</v>
      </c>
      <c r="G311" s="271"/>
      <c r="H311" s="226">
        <f>C297-C294-C295-C296</f>
        <v>6.84</v>
      </c>
      <c r="I311" s="87">
        <v>1</v>
      </c>
      <c r="J311" s="93">
        <f>+I311*F311*H311</f>
        <v>6.84</v>
      </c>
    </row>
    <row r="312" spans="1:10" x14ac:dyDescent="0.35">
      <c r="A312" s="265"/>
      <c r="B312" s="89" t="s">
        <v>265</v>
      </c>
      <c r="C312" s="89"/>
      <c r="D312" s="89"/>
      <c r="E312" s="52"/>
      <c r="F312" s="85"/>
      <c r="G312" s="145"/>
      <c r="H312" s="268"/>
      <c r="I312" s="267"/>
      <c r="J312" s="93">
        <f>SUM(J310:J311)</f>
        <v>6.84</v>
      </c>
    </row>
    <row r="313" spans="1:10" x14ac:dyDescent="0.35">
      <c r="A313" s="64" t="s">
        <v>15</v>
      </c>
      <c r="B313" s="496" t="s">
        <v>266</v>
      </c>
      <c r="C313" s="65"/>
      <c r="D313" s="66"/>
      <c r="E313" s="67" t="s">
        <v>249</v>
      </c>
      <c r="F313" s="19" t="s">
        <v>250</v>
      </c>
      <c r="G313" s="19" t="s">
        <v>250</v>
      </c>
      <c r="H313" s="19" t="s">
        <v>264</v>
      </c>
      <c r="I313" s="19" t="s">
        <v>252</v>
      </c>
      <c r="J313" s="56"/>
    </row>
    <row r="314" spans="1:10" x14ac:dyDescent="0.35">
      <c r="A314" s="71"/>
      <c r="B314" s="71"/>
      <c r="C314" s="72"/>
      <c r="D314" s="73"/>
      <c r="E314" s="74"/>
      <c r="F314" s="146" t="s">
        <v>249</v>
      </c>
      <c r="G314" s="23" t="s">
        <v>232</v>
      </c>
      <c r="H314" s="23"/>
      <c r="I314" s="23" t="s">
        <v>255</v>
      </c>
      <c r="J314" s="23"/>
    </row>
    <row r="315" spans="1:10" x14ac:dyDescent="0.35">
      <c r="A315" s="77">
        <v>141</v>
      </c>
      <c r="B315" s="143" t="str">
        <f>IF($A315&gt;0,VLOOKUP($A315,'Kosten Technik'!$A$2:$E$74,2),"")</f>
        <v>LKW-Lieferung unter 100 km</v>
      </c>
      <c r="C315" s="78"/>
      <c r="D315" s="111"/>
      <c r="E315" s="51" t="str">
        <f>IF($A315&gt;0,VLOOKUP($A315,'Kosten Technik'!$A$2:$E$74,4),"")</f>
        <v>dt</v>
      </c>
      <c r="F315" s="79">
        <f>IF($A315&gt;0,VLOOKUP($A315,'Kosten Technik'!$A$2:$E$74,5),0)</f>
        <v>0.9</v>
      </c>
      <c r="G315" s="196"/>
      <c r="H315" s="225">
        <f>SUM(C289:C293)</f>
        <v>6.84</v>
      </c>
      <c r="I315" s="81">
        <v>1</v>
      </c>
      <c r="J315" s="112">
        <f>+I315*F315*H315</f>
        <v>6.1559999999999997</v>
      </c>
    </row>
    <row r="316" spans="1:10" x14ac:dyDescent="0.35">
      <c r="A316" s="83">
        <v>141</v>
      </c>
      <c r="B316" s="94" t="str">
        <f>IF($A316&gt;0,VLOOKUP($A316,'Kosten Technik'!$A$2:$E$74,2),"")</f>
        <v>LKW-Lieferung unter 100 km</v>
      </c>
      <c r="C316" s="89"/>
      <c r="D316" s="144"/>
      <c r="E316" s="52" t="str">
        <f>IF($A316&gt;0,VLOOKUP($A316,'Kosten Technik'!$A$2:$E$74,4),"")</f>
        <v>dt</v>
      </c>
      <c r="F316" s="85">
        <f>IF($A316&gt;0,VLOOKUP($A316,'Kosten Technik'!$A$2:$E$74,5),0)</f>
        <v>0.9</v>
      </c>
      <c r="G316" s="196"/>
      <c r="H316" s="226">
        <f>SUM(C294:C296)</f>
        <v>8.66</v>
      </c>
      <c r="I316" s="87">
        <v>1</v>
      </c>
      <c r="J316" s="93">
        <f>+I316*F316*H316</f>
        <v>7.7940000000000005</v>
      </c>
    </row>
    <row r="317" spans="1:10" x14ac:dyDescent="0.35">
      <c r="A317" s="265"/>
      <c r="B317" s="260" t="s">
        <v>267</v>
      </c>
      <c r="C317" s="89"/>
      <c r="D317" s="89"/>
      <c r="E317" s="52"/>
      <c r="F317" s="85"/>
      <c r="G317" s="145"/>
      <c r="H317" s="268"/>
      <c r="I317" s="267"/>
      <c r="J317" s="93">
        <f>SUM(J315:J316)</f>
        <v>13.95</v>
      </c>
    </row>
    <row r="318" spans="1:10" ht="10.8" x14ac:dyDescent="0.4">
      <c r="A318" s="258"/>
      <c r="B318" s="95" t="s">
        <v>268</v>
      </c>
      <c r="C318" s="96"/>
      <c r="D318" s="96"/>
      <c r="E318" s="97"/>
      <c r="F318" s="97"/>
      <c r="G318" s="96"/>
      <c r="H318" s="96"/>
      <c r="I318" s="259"/>
      <c r="J318" s="98">
        <f>J297+J307+J312+J317</f>
        <v>313.80919999999992</v>
      </c>
    </row>
    <row r="319" spans="1:10" ht="12.3" x14ac:dyDescent="0.4">
      <c r="A319"/>
    </row>
    <row r="320" spans="1:10" ht="12.3" x14ac:dyDescent="0.4">
      <c r="A320"/>
    </row>
    <row r="321" spans="1:10" ht="12.3" hidden="1" x14ac:dyDescent="0.4">
      <c r="A321"/>
    </row>
    <row r="322" spans="1:10" hidden="1" x14ac:dyDescent="0.35">
      <c r="A322" s="127"/>
    </row>
    <row r="323" spans="1:10" ht="12.3" hidden="1" x14ac:dyDescent="0.4">
      <c r="A323" s="127"/>
      <c r="B323"/>
    </row>
    <row r="324" spans="1:10" ht="12.3" hidden="1" x14ac:dyDescent="0.4">
      <c r="A324" s="127"/>
      <c r="B324"/>
    </row>
    <row r="325" spans="1:10" ht="15" x14ac:dyDescent="0.5">
      <c r="A325" s="254" t="s">
        <v>282</v>
      </c>
      <c r="B325" s="213" t="s">
        <v>283</v>
      </c>
      <c r="C325" s="409"/>
      <c r="D325" s="409"/>
      <c r="E325" s="211"/>
      <c r="F325" s="211"/>
      <c r="G325" s="211"/>
      <c r="H325" s="211"/>
      <c r="I325" s="409"/>
      <c r="J325" s="212"/>
    </row>
    <row r="326" spans="1:10" ht="15" x14ac:dyDescent="0.5">
      <c r="A326" s="251"/>
      <c r="B326" s="252"/>
      <c r="C326" s="390"/>
      <c r="D326" s="390"/>
      <c r="E326" s="17"/>
      <c r="F326" s="17"/>
      <c r="G326" s="17"/>
      <c r="H326" s="17"/>
      <c r="I326" s="390"/>
      <c r="J326"/>
    </row>
    <row r="327" spans="1:10" ht="12.3" x14ac:dyDescent="0.4">
      <c r="A327" s="515"/>
      <c r="B327" s="516" t="s">
        <v>284</v>
      </c>
      <c r="C327" s="517"/>
      <c r="D327" s="517"/>
      <c r="E327" s="255"/>
      <c r="F327" s="255"/>
      <c r="G327" s="255"/>
      <c r="H327" s="273"/>
      <c r="I327" s="274"/>
      <c r="J327" s="275"/>
    </row>
    <row r="328" spans="1:10" x14ac:dyDescent="0.35">
      <c r="A328" s="18" t="s">
        <v>15</v>
      </c>
      <c r="B328" s="128" t="s">
        <v>285</v>
      </c>
      <c r="C328" s="128" t="s">
        <v>230</v>
      </c>
      <c r="D328" s="19" t="s">
        <v>231</v>
      </c>
      <c r="E328" s="19" t="s">
        <v>22</v>
      </c>
      <c r="F328" s="19" t="s">
        <v>71</v>
      </c>
      <c r="G328" s="19" t="s">
        <v>74</v>
      </c>
      <c r="H328" s="276"/>
      <c r="I328" s="276"/>
      <c r="J328" s="277"/>
    </row>
    <row r="329" spans="1:10" x14ac:dyDescent="0.35">
      <c r="A329" s="22"/>
      <c r="B329" s="23"/>
      <c r="C329" s="24" t="s">
        <v>232</v>
      </c>
      <c r="D329" s="24" t="s">
        <v>233</v>
      </c>
      <c r="E329" s="24" t="s">
        <v>234</v>
      </c>
      <c r="F329" s="24" t="s">
        <v>234</v>
      </c>
      <c r="G329" s="24" t="s">
        <v>234</v>
      </c>
      <c r="H329" s="36"/>
      <c r="I329" s="36"/>
      <c r="J329" s="38"/>
    </row>
    <row r="330" spans="1:10" x14ac:dyDescent="0.35">
      <c r="A330" s="192">
        <f t="shared" ref="A330:A341" si="11">A9</f>
        <v>1</v>
      </c>
      <c r="B330" s="28" t="str">
        <f>IF(A330&gt;0,VLOOKUP(A330,NährstofAbfuhr!$A$3:$J$50,2),"")</f>
        <v>Futter-Weizen-Korn</v>
      </c>
      <c r="C330" s="283">
        <f t="shared" ref="C330:D341" si="12">C9</f>
        <v>103.33</v>
      </c>
      <c r="D330" s="283">
        <f t="shared" si="12"/>
        <v>80</v>
      </c>
      <c r="E330" s="31">
        <f>IF($A330&gt;0,VLOOKUP($A330,NährstofAbfuhr!$A$3:$J$50,7)*$D330,0)</f>
        <v>144</v>
      </c>
      <c r="F330" s="31">
        <f>IF($A330&gt;0,VLOOKUP($A330,NährstofAbfuhr!$A$3:$J$50,8)*$D330,0)</f>
        <v>64</v>
      </c>
      <c r="G330" s="33">
        <f>IF($A330&gt;0,VLOOKUP($A330,NährstofAbfuhr!$A$3:$J$50,9)*$D330,0)</f>
        <v>48</v>
      </c>
      <c r="H330" s="31"/>
      <c r="I330" s="31"/>
      <c r="J330" s="33"/>
    </row>
    <row r="331" spans="1:10" x14ac:dyDescent="0.35">
      <c r="A331" s="192">
        <f t="shared" si="11"/>
        <v>3</v>
      </c>
      <c r="B331" s="28" t="str">
        <f>IF(A331&gt;0,VLOOKUP(A331,NährstofAbfuhr!$A$3:$J$50,2),"")</f>
        <v>Back-Weizen-Korn</v>
      </c>
      <c r="C331" s="283">
        <f t="shared" si="12"/>
        <v>101.67</v>
      </c>
      <c r="D331" s="283">
        <f t="shared" si="12"/>
        <v>80</v>
      </c>
      <c r="E331" s="31">
        <f>IF($A331&gt;0,VLOOKUP($A331,NährstofAbfuhr!$A$3:$J$50,7)*$D331,0)</f>
        <v>176</v>
      </c>
      <c r="F331" s="31">
        <f>IF($A331&gt;0,VLOOKUP($A331,NährstofAbfuhr!$A$3:$J$50,8)*$D331,0)</f>
        <v>64</v>
      </c>
      <c r="G331" s="33">
        <f>IF($A331&gt;0,VLOOKUP($A331,NährstofAbfuhr!$A$3:$J$50,9)*$D331,0)</f>
        <v>48</v>
      </c>
      <c r="H331" s="31"/>
      <c r="I331" s="31"/>
      <c r="J331" s="33"/>
    </row>
    <row r="332" spans="1:10" ht="10.8" x14ac:dyDescent="0.4">
      <c r="A332" s="192">
        <f t="shared" si="11"/>
        <v>5</v>
      </c>
      <c r="B332" s="28" t="str">
        <f>IF(A332&gt;0,VLOOKUP(A332,NährstofAbfuhr!$A$3:$J$50,2),"")</f>
        <v>Wintergerste-Korn</v>
      </c>
      <c r="C332" s="283">
        <f t="shared" si="12"/>
        <v>120</v>
      </c>
      <c r="D332" s="283">
        <f t="shared" si="12"/>
        <v>71</v>
      </c>
      <c r="E332" s="31">
        <f>IF($A332&gt;0,VLOOKUP($A332,NährstofAbfuhr!$A$3:$J$50,7)*$D332,0)</f>
        <v>120.7</v>
      </c>
      <c r="F332" s="31">
        <f>IF($A332&gt;0,VLOOKUP($A332,NährstofAbfuhr!$A$3:$J$50,8)*$D332,0)</f>
        <v>56.800000000000004</v>
      </c>
      <c r="G332" s="33">
        <f>IF($A332&gt;0,VLOOKUP($A332,NährstofAbfuhr!$A$3:$J$50,9)*$D332,0)</f>
        <v>42.6</v>
      </c>
      <c r="H332" s="278"/>
      <c r="I332" s="278"/>
      <c r="J332" s="279"/>
    </row>
    <row r="333" spans="1:10" ht="10.8" x14ac:dyDescent="0.4">
      <c r="A333" s="192">
        <f t="shared" si="11"/>
        <v>20</v>
      </c>
      <c r="B333" s="28" t="str">
        <f>IF(A333&gt;0,VLOOKUP(A333,NährstofAbfuhr!$A$3:$J$50,2),"")</f>
        <v>Raps-Korn</v>
      </c>
      <c r="C333" s="283">
        <f t="shared" si="12"/>
        <v>35</v>
      </c>
      <c r="D333" s="283">
        <f t="shared" si="12"/>
        <v>31</v>
      </c>
      <c r="E333" s="31">
        <f>IF($A333&gt;0,VLOOKUP($A333,NährstofAbfuhr!$A$3:$J$50,7)*$D333,0)</f>
        <v>102.3</v>
      </c>
      <c r="F333" s="31">
        <f>IF($A333&gt;0,VLOOKUP($A333,NährstofAbfuhr!$A$3:$J$50,8)*$D333,0)</f>
        <v>55.800000000000004</v>
      </c>
      <c r="G333" s="33">
        <f>IF($A333&gt;0,VLOOKUP($A333,NährstofAbfuhr!$A$3:$J$50,9)*$D333,0)</f>
        <v>31</v>
      </c>
      <c r="H333" s="278"/>
      <c r="I333" s="278"/>
      <c r="J333" s="279"/>
    </row>
    <row r="334" spans="1:10" ht="10.8" x14ac:dyDescent="0.4">
      <c r="A334" s="192">
        <f t="shared" si="11"/>
        <v>26</v>
      </c>
      <c r="B334" s="28" t="str">
        <f>IF(A334&gt;0,VLOOKUP(A334,NährstofAbfuhr!$A$3:$J$50,2),"")</f>
        <v>Zuckerrüben-Rüben</v>
      </c>
      <c r="C334" s="283">
        <f t="shared" si="12"/>
        <v>80</v>
      </c>
      <c r="D334" s="283">
        <f t="shared" si="12"/>
        <v>527</v>
      </c>
      <c r="E334" s="31">
        <f>IF($A334&gt;0,VLOOKUP($A334,NährstofAbfuhr!$A$3:$J$50,7)*$D334,0)</f>
        <v>94.86</v>
      </c>
      <c r="F334" s="31">
        <f>IF($A334&gt;0,VLOOKUP($A334,NährstofAbfuhr!$A$3:$J$50,8)*$D334,0)</f>
        <v>52.7</v>
      </c>
      <c r="G334" s="33">
        <f>IF($A334&gt;0,VLOOKUP($A334,NährstofAbfuhr!$A$3:$J$50,9)*$D334,0)</f>
        <v>131.75</v>
      </c>
      <c r="H334" s="278"/>
      <c r="I334" s="278"/>
      <c r="J334" s="279"/>
    </row>
    <row r="335" spans="1:10" ht="10.8" x14ac:dyDescent="0.4">
      <c r="A335" s="192">
        <f t="shared" si="11"/>
        <v>19</v>
      </c>
      <c r="B335" s="28" t="str">
        <f>IF(A335&gt;0,VLOOKUP(A335,NährstofAbfuhr!$A$3:$J$50,2),"")</f>
        <v>Erbsen-Korn</v>
      </c>
      <c r="C335" s="283">
        <f t="shared" si="12"/>
        <v>5</v>
      </c>
      <c r="D335" s="283">
        <f t="shared" si="12"/>
        <v>44</v>
      </c>
      <c r="E335" s="31">
        <f>IF($A335&gt;0,VLOOKUP($A335,NährstofAbfuhr!$A$3:$J$50,7)*$D335,0)</f>
        <v>0</v>
      </c>
      <c r="F335" s="31">
        <f>IF($A335&gt;0,VLOOKUP($A335,NährstofAbfuhr!$A$3:$J$50,8)*$D335,0)</f>
        <v>48.400000000000006</v>
      </c>
      <c r="G335" s="33">
        <f>IF($A335&gt;0,VLOOKUP($A335,NährstofAbfuhr!$A$3:$J$50,9)*$D335,0)</f>
        <v>61.599999999999994</v>
      </c>
      <c r="H335" s="278"/>
      <c r="I335" s="278"/>
      <c r="J335" s="279"/>
    </row>
    <row r="336" spans="1:10" ht="10.8" x14ac:dyDescent="0.4">
      <c r="A336" s="192">
        <f t="shared" si="11"/>
        <v>25</v>
      </c>
      <c r="B336" s="28" t="str">
        <f>IF(A336&gt;0,VLOOKUP(A336,NährstofAbfuhr!$A$3:$J$50,2),"")</f>
        <v>Kartoffel-Knollen</v>
      </c>
      <c r="C336" s="283">
        <f t="shared" si="12"/>
        <v>15</v>
      </c>
      <c r="D336" s="283">
        <f t="shared" si="12"/>
        <v>350</v>
      </c>
      <c r="E336" s="31">
        <f>IF($A336&gt;0,VLOOKUP($A336,NährstofAbfuhr!$A$3:$J$50,7)*$D336,0)</f>
        <v>122.49999999999999</v>
      </c>
      <c r="F336" s="31">
        <f>IF($A336&gt;0,VLOOKUP($A336,NährstofAbfuhr!$A$3:$J$50,8)*$D336,0)</f>
        <v>49.000000000000007</v>
      </c>
      <c r="G336" s="33">
        <f>IF($A336&gt;0,VLOOKUP($A336,NährstofAbfuhr!$A$3:$J$50,9)*$D336,0)</f>
        <v>210</v>
      </c>
      <c r="H336" s="278"/>
      <c r="I336" s="278"/>
      <c r="J336" s="279"/>
    </row>
    <row r="337" spans="1:10" ht="10.8" x14ac:dyDescent="0.4">
      <c r="A337" s="283">
        <f t="shared" si="11"/>
        <v>0</v>
      </c>
      <c r="B337" s="28" t="str">
        <f>IF(A337&gt;0,VLOOKUP(A337,NährstofAbfuhr!$A$3:$J$50,2),"")</f>
        <v/>
      </c>
      <c r="C337" s="283">
        <f t="shared" si="12"/>
        <v>0</v>
      </c>
      <c r="D337" s="283">
        <f t="shared" si="12"/>
        <v>0</v>
      </c>
      <c r="E337" s="31">
        <f>IF($A337&gt;0,VLOOKUP($A337,NährstofAbfuhr!$A$3:$J$50,7)*$D337,0)</f>
        <v>0</v>
      </c>
      <c r="F337" s="31">
        <f>IF($A337&gt;0,VLOOKUP($A337,NährstofAbfuhr!$A$3:$J$50,8)*$D337,0)</f>
        <v>0</v>
      </c>
      <c r="G337" s="33">
        <f>IF($A337&gt;0,VLOOKUP($A337,NährstofAbfuhr!$A$3:$J$50,9)*$D337,0)</f>
        <v>0</v>
      </c>
      <c r="H337" s="278"/>
      <c r="I337" s="278"/>
      <c r="J337" s="279"/>
    </row>
    <row r="338" spans="1:10" ht="10.8" x14ac:dyDescent="0.4">
      <c r="A338" s="283">
        <f t="shared" si="11"/>
        <v>0</v>
      </c>
      <c r="B338" s="28" t="str">
        <f>IF(A338&gt;0,VLOOKUP(A338,NährstofAbfuhr!$A$3:$J$50,2),"")</f>
        <v/>
      </c>
      <c r="C338" s="283">
        <f t="shared" si="12"/>
        <v>0</v>
      </c>
      <c r="D338" s="283">
        <f t="shared" si="12"/>
        <v>0</v>
      </c>
      <c r="E338" s="31">
        <f>IF($A338&gt;0,VLOOKUP($A338,NährstofAbfuhr!$A$3:$J$50,7)*$D338,0)</f>
        <v>0</v>
      </c>
      <c r="F338" s="31">
        <f>IF($A338&gt;0,VLOOKUP($A338,NährstofAbfuhr!$A$3:$J$50,8)*$D338,0)</f>
        <v>0</v>
      </c>
      <c r="G338" s="33">
        <f>IF($A338&gt;0,VLOOKUP($A338,NährstofAbfuhr!$A$3:$J$50,9)*$D338,0)</f>
        <v>0</v>
      </c>
      <c r="H338" s="278"/>
      <c r="I338" s="278"/>
      <c r="J338" s="279"/>
    </row>
    <row r="339" spans="1:10" ht="10.8" x14ac:dyDescent="0.4">
      <c r="A339" s="283">
        <f t="shared" si="11"/>
        <v>0</v>
      </c>
      <c r="B339" s="28" t="str">
        <f>IF(A339&gt;0,VLOOKUP(A339,NährstofAbfuhr!$A$3:$J$50,2),"")</f>
        <v/>
      </c>
      <c r="C339" s="283">
        <f t="shared" si="12"/>
        <v>0</v>
      </c>
      <c r="D339" s="283">
        <f t="shared" si="12"/>
        <v>0</v>
      </c>
      <c r="E339" s="31">
        <f>IF($A339&gt;0,VLOOKUP($A339,NährstofAbfuhr!$A$3:$J$50,7)*$D339,0)</f>
        <v>0</v>
      </c>
      <c r="F339" s="31">
        <f>IF($A339&gt;0,VLOOKUP($A339,NährstofAbfuhr!$A$3:$J$50,8)*$D339,0)</f>
        <v>0</v>
      </c>
      <c r="G339" s="33">
        <f>IF($A339&gt;0,VLOOKUP($A339,NährstofAbfuhr!$A$3:$J$50,9)*$D339,0)</f>
        <v>0</v>
      </c>
      <c r="H339" s="278"/>
      <c r="I339" s="278"/>
      <c r="J339" s="279"/>
    </row>
    <row r="340" spans="1:10" ht="10.8" x14ac:dyDescent="0.4">
      <c r="A340" s="283">
        <f t="shared" si="11"/>
        <v>0</v>
      </c>
      <c r="B340" s="28" t="str">
        <f>IF(A340&gt;0,VLOOKUP(A340,NährstofAbfuhr!$A$3:$J$50,2),"")</f>
        <v/>
      </c>
      <c r="C340" s="283">
        <f t="shared" si="12"/>
        <v>0</v>
      </c>
      <c r="D340" s="283">
        <f t="shared" si="12"/>
        <v>0</v>
      </c>
      <c r="E340" s="31">
        <f>IF($A340&gt;0,VLOOKUP($A340,NährstofAbfuhr!$A$3:$J$50,7)*$D340,0)</f>
        <v>0</v>
      </c>
      <c r="F340" s="31">
        <f>IF($A340&gt;0,VLOOKUP($A340,NährstofAbfuhr!$A$3:$J$50,8)*$D340,0)</f>
        <v>0</v>
      </c>
      <c r="G340" s="33">
        <f>IF($A340&gt;0,VLOOKUP($A340,NährstofAbfuhr!$A$3:$J$50,9)*$D340,0)</f>
        <v>0</v>
      </c>
      <c r="H340" s="278"/>
      <c r="I340" s="278"/>
      <c r="J340" s="279"/>
    </row>
    <row r="341" spans="1:10" ht="10.8" x14ac:dyDescent="0.4">
      <c r="A341" s="192">
        <f t="shared" si="11"/>
        <v>66</v>
      </c>
      <c r="B341" s="34" t="str">
        <f>IF(A341&gt;0,VLOOKUP(A341,NährstofBedarf!$A$4:$J$90,2),"")</f>
        <v>frei  /  Stillegung</v>
      </c>
      <c r="C341" s="284">
        <f t="shared" si="12"/>
        <v>40</v>
      </c>
      <c r="D341" s="283">
        <f t="shared" si="12"/>
        <v>0</v>
      </c>
      <c r="E341" s="31">
        <f>IF($A341&gt;0,VLOOKUP($A341,NährstofBedarf!$A$4:$J$90,4)*$D341/10,0)</f>
        <v>0</v>
      </c>
      <c r="F341" s="31">
        <f>IF($A341&gt;0,VLOOKUP($A341,NährstofBedarf!$A$4:$J$90,5)*$D341/10,0)</f>
        <v>0</v>
      </c>
      <c r="G341" s="33">
        <f>IF($A341&gt;0,VLOOKUP($A341,NährstofBedarf!$A$4:$J$90,6)*$D341/10,0)</f>
        <v>0</v>
      </c>
      <c r="H341" s="278"/>
      <c r="I341" s="278"/>
      <c r="J341" s="279"/>
    </row>
    <row r="342" spans="1:10" ht="10.8" x14ac:dyDescent="0.4">
      <c r="A342" s="193"/>
      <c r="B342" s="90" t="s">
        <v>235</v>
      </c>
      <c r="C342" s="36">
        <f>SUM(C330:C341)</f>
        <v>500</v>
      </c>
      <c r="D342" s="34"/>
      <c r="E342" s="34"/>
      <c r="F342" s="36"/>
      <c r="G342" s="36"/>
      <c r="H342" s="278"/>
      <c r="I342" s="278"/>
      <c r="J342" s="279"/>
    </row>
    <row r="343" spans="1:10" ht="10.8" x14ac:dyDescent="0.4">
      <c r="A343" s="285" t="s">
        <v>286</v>
      </c>
      <c r="B343" s="43"/>
      <c r="C343" s="222"/>
      <c r="D343" s="223"/>
      <c r="E343" s="281">
        <f>(E330*$C330+E331*$C331+E332*$C332+E333*$C333+E334*$C334+E335*$C335+E336*$C336+E337*$C337+E338*$C338+E339*$C339+E340*$C340+E341*$C341)/$C342</f>
        <v>120.52848000000002</v>
      </c>
      <c r="F343" s="281">
        <f>(F330*$C330+F331*$C331+F332*$C332+F333*$C333+F334*$C334+F335*$C335+F336*$C336+F337*$C337+F338*$C338+F339*$C339+F340*$C340+F341*$C341)/$C342</f>
        <v>54.164000000000001</v>
      </c>
      <c r="G343" s="281">
        <f>(G330*$C330+G331*$C331+G332*$C332+G333*$C333+G334*$C334+G335*$C335+G336*$C336+G337*$C337+G338*$C338+G339*$C339+G340*$C340+G341*$C341)/$C342</f>
        <v>60.07</v>
      </c>
      <c r="H343" s="45"/>
      <c r="I343" s="45"/>
      <c r="J343" s="280"/>
    </row>
    <row r="344" spans="1:10" ht="10.8" x14ac:dyDescent="0.4">
      <c r="A344" s="236" t="s">
        <v>287</v>
      </c>
      <c r="B344" s="89"/>
      <c r="C344" s="221"/>
      <c r="D344" s="220"/>
      <c r="E344" s="45">
        <f>E24</f>
        <v>174.29748000000001</v>
      </c>
      <c r="F344" s="45">
        <f>F24</f>
        <v>51.811821812999987</v>
      </c>
      <c r="G344" s="45">
        <f>+G24</f>
        <v>63.095687368</v>
      </c>
      <c r="H344" s="45"/>
      <c r="I344" s="45"/>
      <c r="J344" s="280"/>
    </row>
    <row r="345" spans="1:10" ht="12.3" x14ac:dyDescent="0.4">
      <c r="A345" s="518"/>
      <c r="B345" s="519"/>
      <c r="C345" s="520"/>
      <c r="D345" s="521"/>
      <c r="E345" s="522">
        <f>E344-E343</f>
        <v>53.768999999999991</v>
      </c>
      <c r="F345" s="522">
        <f>F344-F343</f>
        <v>-2.352178187000014</v>
      </c>
      <c r="G345" s="522">
        <f>G344-G343</f>
        <v>3.0256873679999998</v>
      </c>
      <c r="H345" s="281"/>
      <c r="I345" s="281"/>
      <c r="J345" s="282"/>
    </row>
    <row r="346" spans="1:10" s="135" customFormat="1" ht="12.75" customHeight="1" x14ac:dyDescent="0.4">
      <c r="A346" s="508"/>
      <c r="B346" s="511"/>
      <c r="C346" s="523"/>
      <c r="D346" s="524"/>
      <c r="E346" s="525"/>
      <c r="F346" s="525"/>
      <c r="G346" s="525"/>
      <c r="H346" s="234"/>
      <c r="I346" s="234"/>
      <c r="J346" s="234"/>
    </row>
    <row r="347" spans="1:10" ht="12.75" customHeight="1" x14ac:dyDescent="0.4">
      <c r="A347" s="47" t="s">
        <v>288</v>
      </c>
      <c r="G347" s="135"/>
      <c r="H347" s="234"/>
      <c r="I347" s="234"/>
      <c r="J347" s="234"/>
    </row>
    <row r="348" spans="1:10" ht="12.75" customHeight="1" x14ac:dyDescent="0.35"/>
    <row r="349" spans="1:10" ht="12.75" customHeight="1" x14ac:dyDescent="0.35"/>
    <row r="350" spans="1:10" ht="12.75" customHeight="1" x14ac:dyDescent="0.35"/>
    <row r="351" spans="1:10" ht="19" customHeight="1" x14ac:dyDescent="0.5">
      <c r="A351" s="254" t="s">
        <v>227</v>
      </c>
      <c r="B351" s="213" t="s">
        <v>289</v>
      </c>
      <c r="C351" s="409"/>
      <c r="D351" s="409"/>
      <c r="E351" s="211"/>
      <c r="F351" s="211"/>
      <c r="G351" s="211"/>
      <c r="H351" s="211"/>
      <c r="I351" s="409"/>
      <c r="J351" s="212"/>
    </row>
    <row r="352" spans="1:10" ht="17.25" customHeight="1" x14ac:dyDescent="0.5">
      <c r="A352" s="251"/>
      <c r="B352" s="252"/>
      <c r="C352" s="390"/>
      <c r="D352" s="390"/>
      <c r="E352" s="17"/>
      <c r="F352" s="17"/>
      <c r="G352" s="17"/>
      <c r="H352" s="17"/>
      <c r="I352" s="390"/>
      <c r="J352"/>
    </row>
    <row r="353" spans="1:11" ht="17.25" customHeight="1" x14ac:dyDescent="0.35">
      <c r="A353" s="18"/>
      <c r="B353" s="18" t="s">
        <v>290</v>
      </c>
      <c r="C353" s="20"/>
      <c r="D353" s="21"/>
      <c r="E353" s="19" t="s">
        <v>291</v>
      </c>
      <c r="F353" s="19" t="s">
        <v>251</v>
      </c>
      <c r="G353" s="19" t="s">
        <v>292</v>
      </c>
      <c r="H353" s="128" t="s">
        <v>293</v>
      </c>
      <c r="I353" s="128" t="s">
        <v>294</v>
      </c>
      <c r="J353" s="19" t="s">
        <v>295</v>
      </c>
    </row>
    <row r="354" spans="1:11" ht="17.25" customHeight="1" x14ac:dyDescent="0.35">
      <c r="A354" s="110"/>
      <c r="B354" s="286"/>
      <c r="C354" s="526"/>
      <c r="D354" s="527"/>
      <c r="E354" s="527" t="s">
        <v>296</v>
      </c>
      <c r="F354" s="527" t="s">
        <v>296</v>
      </c>
      <c r="G354" s="527" t="s">
        <v>296</v>
      </c>
      <c r="H354" s="527" t="s">
        <v>296</v>
      </c>
      <c r="I354" s="527" t="s">
        <v>296</v>
      </c>
      <c r="J354" s="33"/>
    </row>
    <row r="355" spans="1:11" ht="17.25" customHeight="1" x14ac:dyDescent="0.35">
      <c r="A355" s="22"/>
      <c r="B355" s="22"/>
      <c r="C355" s="75"/>
      <c r="D355" s="528"/>
      <c r="E355" s="529" t="s">
        <v>245</v>
      </c>
      <c r="F355" s="529" t="s">
        <v>245</v>
      </c>
      <c r="G355" s="529" t="s">
        <v>245</v>
      </c>
      <c r="H355" s="529" t="s">
        <v>245</v>
      </c>
      <c r="I355" s="529" t="s">
        <v>245</v>
      </c>
      <c r="J355" s="36" t="s">
        <v>31</v>
      </c>
    </row>
    <row r="356" spans="1:11" ht="17.25" hidden="1" customHeight="1" x14ac:dyDescent="0.55000000000000004">
      <c r="A356" s="326"/>
      <c r="B356" s="327"/>
      <c r="C356" s="288"/>
      <c r="D356" s="289"/>
      <c r="E356" s="31"/>
      <c r="F356" s="31"/>
      <c r="G356" s="33"/>
      <c r="H356" s="54"/>
      <c r="I356" s="31"/>
      <c r="J356" s="279"/>
      <c r="K356" s="318"/>
    </row>
    <row r="357" spans="1:11" ht="17.25" customHeight="1" x14ac:dyDescent="0.35">
      <c r="A357" s="375" t="s">
        <v>297</v>
      </c>
      <c r="B357" s="291" t="str">
        <f>B70</f>
        <v>AHL + TSP + Kali 60 + ks.Kalk   (Spritze+Kreiselstreuer)</v>
      </c>
      <c r="C357" s="287"/>
      <c r="D357" s="290"/>
      <c r="E357" s="31">
        <f>J81</f>
        <v>273.35380000000004</v>
      </c>
      <c r="F357" s="31">
        <f>J91</f>
        <v>60.36</v>
      </c>
      <c r="G357" s="33">
        <f>J96</f>
        <v>11.98</v>
      </c>
      <c r="H357" s="54">
        <f>J101</f>
        <v>15.776999999999999</v>
      </c>
      <c r="I357" s="31">
        <f>J102</f>
        <v>361.47080000000005</v>
      </c>
      <c r="J357" s="530">
        <f t="shared" ref="J357:J363" si="13">I357/$I$362*100</f>
        <v>121.56375567175203</v>
      </c>
    </row>
    <row r="358" spans="1:11" ht="17.25" customHeight="1" x14ac:dyDescent="0.35">
      <c r="A358" s="376" t="s">
        <v>298</v>
      </c>
      <c r="B358" s="291" t="str">
        <f>B105</f>
        <v>HS gekörnt + TSP + Kali 60 + ks.Kalk (Kreiselstreuer)</v>
      </c>
      <c r="C358" s="287"/>
      <c r="D358" s="290"/>
      <c r="E358" s="31">
        <f>J116</f>
        <v>237.7938</v>
      </c>
      <c r="F358" s="31">
        <f>J126</f>
        <v>55.08</v>
      </c>
      <c r="G358" s="33">
        <f>J131</f>
        <v>6.48</v>
      </c>
      <c r="H358" s="54">
        <f>J136</f>
        <v>13.823999999999998</v>
      </c>
      <c r="I358" s="531">
        <f>J137</f>
        <v>313.17780000000005</v>
      </c>
      <c r="J358" s="530">
        <f t="shared" si="13"/>
        <v>105.32266938578947</v>
      </c>
    </row>
    <row r="359" spans="1:11" ht="17.25" customHeight="1" x14ac:dyDescent="0.35">
      <c r="A359" s="376" t="s">
        <v>299</v>
      </c>
      <c r="B359" s="291" t="str">
        <f>B142</f>
        <v>HS geprillt + TSP + Kali 60 + ks.Kalk (Auslegerstreuer)</v>
      </c>
      <c r="C359" s="287"/>
      <c r="D359" s="290"/>
      <c r="E359" s="31">
        <f>J153</f>
        <v>235.42780000000002</v>
      </c>
      <c r="F359" s="31">
        <f>J163</f>
        <v>64.38000000000001</v>
      </c>
      <c r="G359" s="33">
        <f>J168</f>
        <v>6.48</v>
      </c>
      <c r="H359" s="54">
        <f>J173</f>
        <v>13.823999999999998</v>
      </c>
      <c r="I359" s="531">
        <f>J174</f>
        <v>320.11180000000007</v>
      </c>
      <c r="J359" s="530">
        <f t="shared" si="13"/>
        <v>107.65459517848954</v>
      </c>
    </row>
    <row r="360" spans="1:11" ht="17.25" customHeight="1" x14ac:dyDescent="0.35">
      <c r="A360" s="376" t="s">
        <v>300</v>
      </c>
      <c r="B360" s="291" t="str">
        <f>B177</f>
        <v>HS gekörnt + PK 14+24 + ks.Kalk (Kreiselstreuer)</v>
      </c>
      <c r="C360" s="287"/>
      <c r="D360" s="290"/>
      <c r="E360" s="31">
        <f>J188</f>
        <v>245.45115700000002</v>
      </c>
      <c r="F360" s="31">
        <f>J198</f>
        <v>57.097449999999995</v>
      </c>
      <c r="G360" s="33">
        <f>J203</f>
        <v>6.9765000000000015</v>
      </c>
      <c r="H360" s="54">
        <f>J208</f>
        <v>13.656555000000001</v>
      </c>
      <c r="I360" s="531">
        <f>J209</f>
        <v>323.18166200000002</v>
      </c>
      <c r="J360" s="530">
        <f t="shared" si="13"/>
        <v>108.68699932873899</v>
      </c>
    </row>
    <row r="361" spans="1:11" ht="17.25" customHeight="1" x14ac:dyDescent="0.35">
      <c r="A361" s="376" t="s">
        <v>301</v>
      </c>
      <c r="B361" s="291" t="str">
        <f>B214</f>
        <v>NPK 7+17+26 ( + HS geprillt ) + ks.Kalk (Auslegerstreuer)</v>
      </c>
      <c r="C361" s="287"/>
      <c r="D361" s="290"/>
      <c r="E361" s="31">
        <f>J225</f>
        <v>217.13200000000001</v>
      </c>
      <c r="F361" s="31">
        <f>J235</f>
        <v>48.480000000000004</v>
      </c>
      <c r="G361" s="33">
        <f>J240</f>
        <v>6.1500000000000012</v>
      </c>
      <c r="H361" s="54">
        <f>J245</f>
        <v>13.212000000000002</v>
      </c>
      <c r="I361" s="531">
        <f>J246</f>
        <v>284.97399999999999</v>
      </c>
      <c r="J361" s="530">
        <f t="shared" si="13"/>
        <v>95.837643618244854</v>
      </c>
    </row>
    <row r="362" spans="1:11" ht="17.25" customHeight="1" x14ac:dyDescent="0.4">
      <c r="A362" s="377" t="s">
        <v>302</v>
      </c>
      <c r="B362" s="328" t="str">
        <f>B249</f>
        <v>HS gekörnt + MAP + Kali 60 + ks.Kalk (Kreiselstreuer)</v>
      </c>
      <c r="C362" s="287"/>
      <c r="D362" s="290"/>
      <c r="E362" s="379">
        <f>J260</f>
        <v>222.3408</v>
      </c>
      <c r="F362" s="379">
        <f>J270</f>
        <v>55.079999999999991</v>
      </c>
      <c r="G362" s="380">
        <f>J275</f>
        <v>6.0700000000000021</v>
      </c>
      <c r="H362" s="381">
        <f>J280</f>
        <v>13.86</v>
      </c>
      <c r="I362" s="278">
        <f>J281</f>
        <v>297.35079999999999</v>
      </c>
      <c r="J362" s="279">
        <f t="shared" si="13"/>
        <v>100</v>
      </c>
    </row>
    <row r="363" spans="1:11" ht="17.25" customHeight="1" x14ac:dyDescent="0.4">
      <c r="A363" s="378" t="s">
        <v>303</v>
      </c>
      <c r="B363" s="325" t="str">
        <f>B286</f>
        <v>HS gekörnt + TSP + Kali 40 + ks Kalk  (Kreiselstreuer)</v>
      </c>
      <c r="C363" s="532"/>
      <c r="D363" s="533"/>
      <c r="E363" s="36">
        <f>J297</f>
        <v>236.5992</v>
      </c>
      <c r="F363" s="36">
        <f>J307</f>
        <v>56.419999999999987</v>
      </c>
      <c r="G363" s="38">
        <f>J312</f>
        <v>6.84</v>
      </c>
      <c r="H363" s="57">
        <f>J317</f>
        <v>13.95</v>
      </c>
      <c r="I363" s="263">
        <f>J318</f>
        <v>313.80919999999992</v>
      </c>
      <c r="J363" s="263">
        <f t="shared" si="13"/>
        <v>105.53501117198942</v>
      </c>
    </row>
    <row r="364" spans="1:11" ht="12.75" customHeight="1" x14ac:dyDescent="0.35"/>
    <row r="365" spans="1:11" ht="12.75" customHeight="1" x14ac:dyDescent="0.35">
      <c r="G365" s="11" t="s">
        <v>304</v>
      </c>
    </row>
    <row r="366" spans="1:11" ht="12.75" customHeight="1" x14ac:dyDescent="0.35"/>
    <row r="367" spans="1:11" ht="12.75" customHeight="1" x14ac:dyDescent="0.35"/>
    <row r="368" spans="1:11" ht="12.75" customHeight="1" x14ac:dyDescent="0.35"/>
    <row r="369" spans="5:9" ht="12.75" customHeight="1" x14ac:dyDescent="0.35">
      <c r="E369" s="366">
        <f>SUM(E357:E368)/7</f>
        <v>238.2997938571429</v>
      </c>
      <c r="F369" s="366">
        <f>SUM(F357:F368)/7</f>
        <v>56.699635714285705</v>
      </c>
      <c r="G369" s="366">
        <f>SUM(G357:G368)/7</f>
        <v>7.2823571428571432</v>
      </c>
      <c r="H369" s="366">
        <f>SUM(H357:H368)/7</f>
        <v>14.014793571428571</v>
      </c>
      <c r="I369" s="366">
        <f>SUM(I357:I368)/7</f>
        <v>316.2965802857143</v>
      </c>
    </row>
    <row r="370" spans="5:9" ht="12.75" customHeight="1" x14ac:dyDescent="0.35">
      <c r="E370" s="367">
        <f>E369/I369%</f>
        <v>75.3406165953119</v>
      </c>
      <c r="F370" s="367">
        <f>F369/I369%</f>
        <v>17.926098240792957</v>
      </c>
      <c r="G370" s="367">
        <f>G369/I369%</f>
        <v>2.3023825095670993</v>
      </c>
      <c r="H370" s="367">
        <f>H369/I369%</f>
        <v>4.4309026543280519</v>
      </c>
      <c r="I370" s="367">
        <f>I369/I369%</f>
        <v>100</v>
      </c>
    </row>
    <row r="371" spans="5:9" ht="12.75" customHeight="1" x14ac:dyDescent="0.35"/>
    <row r="372" spans="5:9" ht="12.75" customHeight="1" x14ac:dyDescent="0.35"/>
    <row r="373" spans="5:9" ht="12.75" customHeight="1" x14ac:dyDescent="0.35"/>
    <row r="374" spans="5:9" ht="12.75" customHeight="1" x14ac:dyDescent="0.35"/>
    <row r="375" spans="5:9" ht="12.75" customHeight="1" x14ac:dyDescent="0.35"/>
    <row r="376" spans="5:9" ht="12.75" customHeight="1" x14ac:dyDescent="0.35"/>
    <row r="377" spans="5:9" ht="12.75" customHeight="1" x14ac:dyDescent="0.35"/>
    <row r="378" spans="5:9" ht="12.75" customHeight="1" x14ac:dyDescent="0.35"/>
    <row r="379" spans="5:9" ht="12.75" customHeight="1" x14ac:dyDescent="0.35"/>
    <row r="380" spans="5:9" ht="12.75" customHeight="1" x14ac:dyDescent="0.35"/>
    <row r="381" spans="5:9" ht="12.75" customHeight="1" x14ac:dyDescent="0.35"/>
    <row r="382" spans="5:9" ht="12.75" customHeight="1" x14ac:dyDescent="0.35"/>
    <row r="383" spans="5:9" ht="12.75" customHeight="1" x14ac:dyDescent="0.35"/>
    <row r="384" spans="5:9" ht="12.75" customHeight="1" x14ac:dyDescent="0.35"/>
    <row r="385" ht="12.75" customHeight="1" x14ac:dyDescent="0.35"/>
    <row r="386" ht="12.75" customHeight="1" x14ac:dyDescent="0.35"/>
    <row r="387" ht="12.75" customHeight="1" x14ac:dyDescent="0.35"/>
    <row r="388" ht="12.75" customHeight="1" x14ac:dyDescent="0.35"/>
    <row r="389" ht="12.75" customHeight="1" x14ac:dyDescent="0.35"/>
    <row r="390" ht="12.75" customHeight="1" x14ac:dyDescent="0.35"/>
    <row r="391" ht="12.75" customHeight="1" x14ac:dyDescent="0.35"/>
    <row r="392" ht="12.75" customHeight="1" x14ac:dyDescent="0.35"/>
    <row r="393" ht="12.75" customHeight="1" x14ac:dyDescent="0.35"/>
    <row r="394" ht="12.75" customHeight="1" x14ac:dyDescent="0.35"/>
    <row r="395" ht="12.75" customHeight="1" x14ac:dyDescent="0.35"/>
    <row r="396" ht="12.75" customHeight="1" x14ac:dyDescent="0.35"/>
    <row r="397" ht="12.75" customHeight="1" x14ac:dyDescent="0.35"/>
    <row r="398" ht="12.75" customHeight="1" x14ac:dyDescent="0.35"/>
    <row r="399" ht="12.75" customHeight="1" x14ac:dyDescent="0.35"/>
    <row r="400" ht="12.75" customHeight="1" x14ac:dyDescent="0.35"/>
    <row r="401" ht="12.75" customHeight="1" x14ac:dyDescent="0.35"/>
    <row r="402" ht="12.75" customHeight="1" x14ac:dyDescent="0.35"/>
    <row r="403" ht="12.75" customHeight="1" x14ac:dyDescent="0.35"/>
    <row r="404" ht="12.75" customHeight="1" x14ac:dyDescent="0.35"/>
    <row r="405" ht="12.75" customHeight="1" x14ac:dyDescent="0.35"/>
    <row r="406" ht="12.75" customHeight="1" x14ac:dyDescent="0.35"/>
    <row r="407" ht="12.75" customHeight="1" x14ac:dyDescent="0.35"/>
    <row r="408" ht="12.75" customHeight="1" x14ac:dyDescent="0.35"/>
    <row r="409" ht="12.75" customHeight="1" x14ac:dyDescent="0.35"/>
    <row r="410" ht="12.75" customHeight="1" x14ac:dyDescent="0.35"/>
    <row r="411" ht="12.75" customHeight="1" x14ac:dyDescent="0.35"/>
    <row r="412" ht="12.75" customHeight="1" x14ac:dyDescent="0.35"/>
    <row r="413" ht="12.75" customHeight="1" x14ac:dyDescent="0.35"/>
    <row r="414" ht="12.75" customHeight="1" x14ac:dyDescent="0.35"/>
    <row r="415" ht="12.75" customHeight="1" x14ac:dyDescent="0.35"/>
    <row r="416" ht="12.75" customHeight="1" x14ac:dyDescent="0.35"/>
    <row r="417" ht="12.75" customHeight="1" x14ac:dyDescent="0.35"/>
    <row r="418" ht="12.75" customHeight="1" x14ac:dyDescent="0.35"/>
    <row r="419" ht="12.75" customHeight="1" x14ac:dyDescent="0.35"/>
    <row r="420" ht="12.75" customHeight="1" x14ac:dyDescent="0.35"/>
    <row r="421" ht="12.75" customHeight="1" x14ac:dyDescent="0.35"/>
    <row r="422" ht="12.75" customHeight="1" x14ac:dyDescent="0.35"/>
    <row r="423" ht="12.75" customHeight="1" x14ac:dyDescent="0.35"/>
    <row r="424" ht="12.75" customHeight="1" x14ac:dyDescent="0.35"/>
    <row r="425" ht="12.75" customHeight="1" x14ac:dyDescent="0.35"/>
    <row r="426" ht="12.75" customHeight="1" x14ac:dyDescent="0.35"/>
    <row r="427" ht="12.75" customHeight="1" x14ac:dyDescent="0.35"/>
    <row r="428" ht="12.75" customHeight="1" x14ac:dyDescent="0.35"/>
    <row r="429" ht="12.75" customHeight="1" x14ac:dyDescent="0.35"/>
    <row r="430" ht="12.75" customHeight="1" x14ac:dyDescent="0.35"/>
    <row r="431" ht="12.75" customHeight="1" x14ac:dyDescent="0.35"/>
    <row r="432" ht="12.75" customHeight="1" x14ac:dyDescent="0.35"/>
    <row r="433" ht="12.75" customHeight="1" x14ac:dyDescent="0.35"/>
    <row r="434" ht="12.75" customHeight="1" x14ac:dyDescent="0.35"/>
    <row r="435" ht="12.75" customHeight="1" x14ac:dyDescent="0.35"/>
    <row r="436" ht="12.75" customHeight="1" x14ac:dyDescent="0.35"/>
    <row r="437" ht="12.75" customHeight="1" x14ac:dyDescent="0.35"/>
    <row r="438" ht="12.75" customHeight="1" x14ac:dyDescent="0.35"/>
    <row r="439" ht="12.75" customHeight="1" x14ac:dyDescent="0.35"/>
    <row r="440" ht="12.75" customHeight="1" x14ac:dyDescent="0.35"/>
    <row r="441" ht="12.75" customHeight="1" x14ac:dyDescent="0.35"/>
    <row r="442" ht="12.75" customHeight="1" x14ac:dyDescent="0.35"/>
    <row r="443" ht="12.75" customHeight="1" x14ac:dyDescent="0.35"/>
    <row r="444" ht="12.75" customHeight="1" x14ac:dyDescent="0.35"/>
    <row r="445" ht="12.75" customHeight="1" x14ac:dyDescent="0.35"/>
    <row r="446" ht="12.75" customHeight="1" x14ac:dyDescent="0.35"/>
    <row r="447" ht="12.75" customHeight="1" x14ac:dyDescent="0.35"/>
    <row r="448" ht="12.75" customHeight="1" x14ac:dyDescent="0.35"/>
    <row r="449" ht="12.75" customHeight="1" x14ac:dyDescent="0.35"/>
    <row r="450" ht="12.75" customHeight="1" x14ac:dyDescent="0.35"/>
    <row r="451" ht="12.75" customHeight="1" x14ac:dyDescent="0.35"/>
    <row r="452" ht="12.75" customHeight="1" x14ac:dyDescent="0.35"/>
    <row r="453" ht="12.75" customHeight="1" x14ac:dyDescent="0.35"/>
    <row r="454" ht="12.75" customHeight="1" x14ac:dyDescent="0.35"/>
    <row r="455" ht="12.75" customHeight="1" x14ac:dyDescent="0.35"/>
    <row r="456" ht="12.75" customHeight="1" x14ac:dyDescent="0.35"/>
    <row r="457" ht="12.75" customHeight="1" x14ac:dyDescent="0.35"/>
    <row r="458" ht="12.75" customHeight="1" x14ac:dyDescent="0.35"/>
    <row r="459" ht="12.75" customHeight="1" x14ac:dyDescent="0.35"/>
    <row r="460" ht="12.75" customHeight="1" x14ac:dyDescent="0.35"/>
    <row r="461" ht="12.75" customHeight="1" x14ac:dyDescent="0.35"/>
    <row r="462" ht="12.75" customHeight="1" x14ac:dyDescent="0.35"/>
    <row r="463" ht="12.75" customHeight="1" x14ac:dyDescent="0.35"/>
    <row r="464" ht="12.75" customHeight="1" x14ac:dyDescent="0.35"/>
    <row r="465" ht="12.75" customHeight="1" x14ac:dyDescent="0.35"/>
    <row r="466" ht="12.75" customHeight="1" x14ac:dyDescent="0.35"/>
    <row r="467" ht="12.75" customHeight="1" x14ac:dyDescent="0.35"/>
    <row r="468" ht="12.75" customHeight="1" x14ac:dyDescent="0.35"/>
    <row r="469" ht="12.75" customHeight="1" x14ac:dyDescent="0.35"/>
    <row r="470" ht="12.75" customHeight="1" x14ac:dyDescent="0.35"/>
    <row r="471" ht="12.75" customHeight="1" x14ac:dyDescent="0.35"/>
    <row r="472" ht="12.75" customHeight="1" x14ac:dyDescent="0.35"/>
    <row r="473" ht="12.75" customHeight="1" x14ac:dyDescent="0.35"/>
    <row r="474" ht="12.75" customHeight="1" x14ac:dyDescent="0.35"/>
    <row r="475" ht="12.75" customHeight="1" x14ac:dyDescent="0.35"/>
    <row r="476" ht="12.75" customHeight="1" x14ac:dyDescent="0.35"/>
    <row r="477" ht="12.75" customHeight="1" x14ac:dyDescent="0.35"/>
    <row r="478" ht="12.75" customHeight="1" x14ac:dyDescent="0.35"/>
    <row r="479" ht="12.75" customHeight="1" x14ac:dyDescent="0.35"/>
    <row r="480" ht="12.75" customHeight="1" x14ac:dyDescent="0.35"/>
    <row r="481" ht="12.75" customHeight="1" x14ac:dyDescent="0.35"/>
    <row r="482" ht="12.75" customHeight="1" x14ac:dyDescent="0.35"/>
    <row r="483" ht="12.75" customHeight="1" x14ac:dyDescent="0.35"/>
    <row r="484" ht="12.75" customHeight="1" x14ac:dyDescent="0.35"/>
    <row r="485" ht="12.75" customHeight="1" x14ac:dyDescent="0.35"/>
    <row r="486" ht="12.75" customHeight="1" x14ac:dyDescent="0.35"/>
    <row r="487" ht="12.75" customHeight="1" x14ac:dyDescent="0.35"/>
    <row r="488" ht="12.75" customHeight="1" x14ac:dyDescent="0.35"/>
    <row r="489" ht="12.75" customHeight="1" x14ac:dyDescent="0.35"/>
    <row r="490" ht="12.75" customHeight="1" x14ac:dyDescent="0.35"/>
    <row r="491" ht="12.75" customHeight="1" x14ac:dyDescent="0.35"/>
    <row r="492" ht="12.75" customHeight="1" x14ac:dyDescent="0.35"/>
    <row r="493" ht="12.75" customHeight="1" x14ac:dyDescent="0.35"/>
    <row r="494" ht="12.75" customHeight="1" x14ac:dyDescent="0.35"/>
    <row r="495" ht="12.75" customHeight="1" x14ac:dyDescent="0.35"/>
    <row r="496" ht="12.75" customHeight="1" x14ac:dyDescent="0.35"/>
    <row r="497" ht="12.75" customHeight="1" x14ac:dyDescent="0.35"/>
    <row r="498" ht="12.75" customHeight="1" x14ac:dyDescent="0.35"/>
    <row r="499" ht="12.75" customHeight="1" x14ac:dyDescent="0.35"/>
    <row r="500" ht="12.75" customHeight="1" x14ac:dyDescent="0.35"/>
    <row r="501" ht="12.75" customHeight="1" x14ac:dyDescent="0.35"/>
    <row r="502" ht="12.75" customHeight="1" x14ac:dyDescent="0.35"/>
    <row r="503" ht="12.75" customHeight="1" x14ac:dyDescent="0.35"/>
    <row r="504" ht="12.75" customHeight="1" x14ac:dyDescent="0.35"/>
    <row r="505" ht="12.75" customHeight="1" x14ac:dyDescent="0.35"/>
    <row r="506" ht="12.75" customHeight="1" x14ac:dyDescent="0.35"/>
    <row r="507" ht="12.75" customHeight="1" x14ac:dyDescent="0.35"/>
    <row r="508" ht="12.75" customHeight="1" x14ac:dyDescent="0.35"/>
    <row r="509" ht="12.75" customHeight="1" x14ac:dyDescent="0.35"/>
    <row r="510" ht="12.75" customHeight="1" x14ac:dyDescent="0.35"/>
    <row r="511" ht="12.75" customHeight="1" x14ac:dyDescent="0.35"/>
    <row r="512" ht="12.75" customHeight="1" x14ac:dyDescent="0.35"/>
    <row r="513" ht="12.75" customHeight="1" x14ac:dyDescent="0.35"/>
    <row r="514" ht="12.75" customHeight="1" x14ac:dyDescent="0.35"/>
    <row r="515" ht="12.75" customHeight="1" x14ac:dyDescent="0.35"/>
    <row r="516" ht="12.75" customHeight="1" x14ac:dyDescent="0.35"/>
    <row r="517" ht="12.75" customHeight="1" x14ac:dyDescent="0.35"/>
    <row r="518" ht="12.75" customHeight="1" x14ac:dyDescent="0.35"/>
    <row r="519" ht="12.75" customHeight="1" x14ac:dyDescent="0.35"/>
    <row r="520" ht="12.75" customHeight="1" x14ac:dyDescent="0.35"/>
    <row r="521" ht="12.75" customHeight="1" x14ac:dyDescent="0.35"/>
    <row r="522" ht="12.75" customHeight="1" x14ac:dyDescent="0.35"/>
    <row r="523" ht="12.75" customHeight="1" x14ac:dyDescent="0.35"/>
    <row r="524" ht="12.75" customHeight="1" x14ac:dyDescent="0.35"/>
    <row r="525" ht="12.75" customHeight="1" x14ac:dyDescent="0.35"/>
    <row r="526" ht="12.75" customHeight="1" x14ac:dyDescent="0.35"/>
    <row r="527" ht="12.75" customHeight="1" x14ac:dyDescent="0.35"/>
    <row r="528" ht="12.75" customHeight="1" x14ac:dyDescent="0.35"/>
    <row r="529" ht="12.75" customHeight="1" x14ac:dyDescent="0.35"/>
    <row r="530" ht="12.75" customHeight="1" x14ac:dyDescent="0.35"/>
    <row r="531" ht="12.75" customHeight="1" x14ac:dyDescent="0.35"/>
    <row r="532" ht="12.75" customHeight="1" x14ac:dyDescent="0.35"/>
    <row r="533" ht="12.75" customHeight="1" x14ac:dyDescent="0.35"/>
    <row r="534" ht="12.75" customHeight="1" x14ac:dyDescent="0.35"/>
    <row r="535" ht="12.75" customHeight="1" x14ac:dyDescent="0.35"/>
    <row r="536" ht="12.75" customHeight="1" x14ac:dyDescent="0.35"/>
    <row r="537" ht="12.75" customHeight="1" x14ac:dyDescent="0.35"/>
    <row r="538" ht="12.75" customHeight="1" x14ac:dyDescent="0.35"/>
    <row r="539" ht="12.75" customHeight="1" x14ac:dyDescent="0.35"/>
    <row r="540" ht="12.75" customHeight="1" x14ac:dyDescent="0.35"/>
    <row r="541" ht="12.75" customHeight="1" x14ac:dyDescent="0.35"/>
    <row r="542" ht="12.75" customHeight="1" x14ac:dyDescent="0.35"/>
    <row r="543" ht="12.75" customHeight="1" x14ac:dyDescent="0.35"/>
    <row r="544" ht="12.75" customHeight="1" x14ac:dyDescent="0.35"/>
    <row r="545" ht="12.75" customHeight="1" x14ac:dyDescent="0.35"/>
    <row r="546" ht="12.75" customHeight="1" x14ac:dyDescent="0.35"/>
    <row r="547" ht="12.75" customHeight="1" x14ac:dyDescent="0.35"/>
    <row r="548" ht="12.75" customHeight="1" x14ac:dyDescent="0.35"/>
    <row r="549" ht="12.75" customHeight="1" x14ac:dyDescent="0.35"/>
    <row r="550" ht="12.75" customHeight="1" x14ac:dyDescent="0.35"/>
    <row r="551" ht="12.75" customHeight="1" x14ac:dyDescent="0.35"/>
    <row r="552" ht="12.75" customHeight="1" x14ac:dyDescent="0.35"/>
    <row r="553" ht="12.75" customHeight="1" x14ac:dyDescent="0.35"/>
    <row r="554" ht="12.75" customHeight="1" x14ac:dyDescent="0.35"/>
    <row r="555" ht="12.75" customHeight="1" x14ac:dyDescent="0.35"/>
    <row r="556" ht="12.75" customHeight="1" x14ac:dyDescent="0.35"/>
    <row r="557" ht="12.75" customHeight="1" x14ac:dyDescent="0.35"/>
    <row r="558" ht="12.75" customHeight="1" x14ac:dyDescent="0.35"/>
    <row r="559" ht="12.75" customHeight="1" x14ac:dyDescent="0.35"/>
    <row r="560" ht="12.75" customHeight="1" x14ac:dyDescent="0.35"/>
    <row r="561" ht="12.75" customHeight="1" x14ac:dyDescent="0.35"/>
    <row r="562" ht="12.75" customHeight="1" x14ac:dyDescent="0.35"/>
    <row r="563" ht="12.75" customHeight="1" x14ac:dyDescent="0.35"/>
    <row r="564" ht="12.75" customHeight="1" x14ac:dyDescent="0.35"/>
    <row r="565" ht="12.75" customHeight="1" x14ac:dyDescent="0.35"/>
    <row r="566" ht="12.75" customHeight="1" x14ac:dyDescent="0.35"/>
    <row r="567" ht="12.75" customHeight="1" x14ac:dyDescent="0.35"/>
    <row r="568" ht="12.75" customHeight="1" x14ac:dyDescent="0.35"/>
    <row r="569" ht="12.75" customHeight="1" x14ac:dyDescent="0.35"/>
    <row r="570" ht="12.75" customHeight="1" x14ac:dyDescent="0.35"/>
    <row r="571" ht="12.75" customHeight="1" x14ac:dyDescent="0.35"/>
    <row r="572" ht="12.75" customHeight="1" x14ac:dyDescent="0.35"/>
    <row r="573" ht="12.75" customHeight="1" x14ac:dyDescent="0.35"/>
    <row r="574" ht="12.75" customHeight="1" x14ac:dyDescent="0.35"/>
    <row r="575" ht="12.75" customHeight="1" x14ac:dyDescent="0.35"/>
    <row r="576" ht="12.75" customHeight="1" x14ac:dyDescent="0.35"/>
    <row r="577" ht="12.75" customHeight="1" x14ac:dyDescent="0.35"/>
    <row r="578" ht="12.75" customHeight="1" x14ac:dyDescent="0.35"/>
    <row r="579" ht="12.75" customHeight="1" x14ac:dyDescent="0.35"/>
    <row r="580" ht="12.75" customHeight="1" x14ac:dyDescent="0.35"/>
    <row r="581" ht="12.75" customHeight="1" x14ac:dyDescent="0.35"/>
    <row r="582" ht="12.75" customHeight="1" x14ac:dyDescent="0.35"/>
    <row r="583" ht="12.75" customHeight="1" x14ac:dyDescent="0.35"/>
    <row r="584" ht="12.75" customHeight="1" x14ac:dyDescent="0.35"/>
    <row r="585" ht="12.75" customHeight="1" x14ac:dyDescent="0.35"/>
    <row r="586" ht="12.75" customHeight="1" x14ac:dyDescent="0.35"/>
    <row r="587" ht="12.75" customHeight="1" x14ac:dyDescent="0.35"/>
    <row r="588" ht="12.75" customHeight="1" x14ac:dyDescent="0.35"/>
    <row r="589" ht="12.75" customHeight="1" x14ac:dyDescent="0.35"/>
    <row r="590" ht="12.75" customHeight="1" x14ac:dyDescent="0.35"/>
    <row r="591" ht="12.75" customHeight="1" x14ac:dyDescent="0.35"/>
    <row r="592" ht="12.75" customHeight="1" x14ac:dyDescent="0.35"/>
    <row r="593" ht="12.75" customHeight="1" x14ac:dyDescent="0.35"/>
    <row r="594" ht="12.75" customHeight="1" x14ac:dyDescent="0.35"/>
    <row r="595" ht="12.75" customHeight="1" x14ac:dyDescent="0.35"/>
    <row r="596" ht="12.75" customHeight="1" x14ac:dyDescent="0.35"/>
    <row r="597" ht="12.75" customHeight="1" x14ac:dyDescent="0.35"/>
    <row r="598" ht="12.75" customHeight="1" x14ac:dyDescent="0.35"/>
    <row r="599" ht="12.75" customHeight="1" x14ac:dyDescent="0.35"/>
    <row r="600" ht="12.75" customHeight="1" x14ac:dyDescent="0.35"/>
    <row r="601" ht="12.75" customHeight="1" x14ac:dyDescent="0.35"/>
    <row r="602" ht="12.75" customHeight="1" x14ac:dyDescent="0.35"/>
    <row r="603" ht="12.75" customHeight="1" x14ac:dyDescent="0.35"/>
    <row r="604" ht="12.75" customHeight="1" x14ac:dyDescent="0.35"/>
    <row r="605" ht="12.75" customHeight="1" x14ac:dyDescent="0.35"/>
    <row r="606" ht="12.75" customHeight="1" x14ac:dyDescent="0.35"/>
    <row r="607" ht="12.75" customHeight="1" x14ac:dyDescent="0.35"/>
    <row r="608" ht="12.75" customHeight="1" x14ac:dyDescent="0.35"/>
    <row r="609" ht="12.75" customHeight="1" x14ac:dyDescent="0.35"/>
    <row r="610" ht="12.75" customHeight="1" x14ac:dyDescent="0.35"/>
    <row r="611" ht="12.75" customHeight="1" x14ac:dyDescent="0.35"/>
    <row r="612" ht="12.75" customHeight="1" x14ac:dyDescent="0.35"/>
    <row r="613" ht="12.75" customHeight="1" x14ac:dyDescent="0.35"/>
    <row r="614" ht="12.75" customHeight="1" x14ac:dyDescent="0.35"/>
    <row r="615" ht="12.75" customHeight="1" x14ac:dyDescent="0.35"/>
    <row r="616" ht="12.75" customHeight="1" x14ac:dyDescent="0.35"/>
    <row r="617" ht="12.75" customHeight="1" x14ac:dyDescent="0.35"/>
    <row r="618" ht="12.75" customHeight="1" x14ac:dyDescent="0.35"/>
    <row r="619" ht="12.75" customHeight="1" x14ac:dyDescent="0.35"/>
    <row r="620" ht="12.75" customHeight="1" x14ac:dyDescent="0.35"/>
    <row r="621" ht="12.75" customHeight="1" x14ac:dyDescent="0.35"/>
    <row r="622" ht="12.75" customHeight="1" x14ac:dyDescent="0.35"/>
    <row r="623" ht="12.75" customHeight="1" x14ac:dyDescent="0.35"/>
    <row r="624" ht="12.75" customHeight="1" x14ac:dyDescent="0.35"/>
    <row r="625" ht="12.75" customHeight="1" x14ac:dyDescent="0.35"/>
    <row r="626" ht="12.75" customHeight="1" x14ac:dyDescent="0.35"/>
    <row r="627" ht="12.75" customHeight="1" x14ac:dyDescent="0.35"/>
    <row r="628" ht="12.75" customHeight="1" x14ac:dyDescent="0.35"/>
    <row r="629" ht="12.75" customHeight="1" x14ac:dyDescent="0.35"/>
    <row r="630" ht="12.75" customHeight="1" x14ac:dyDescent="0.35"/>
    <row r="631" ht="12.75" customHeight="1" x14ac:dyDescent="0.35"/>
    <row r="632" ht="12.75" customHeight="1" x14ac:dyDescent="0.35"/>
    <row r="633" ht="12.75" customHeight="1" x14ac:dyDescent="0.35"/>
    <row r="634" ht="12.75" customHeight="1" x14ac:dyDescent="0.35"/>
    <row r="635" ht="12.75" customHeight="1" x14ac:dyDescent="0.35"/>
    <row r="636" ht="12.75" customHeight="1" x14ac:dyDescent="0.35"/>
    <row r="637" ht="12.75" customHeight="1" x14ac:dyDescent="0.35"/>
    <row r="638" ht="12.75" customHeight="1" x14ac:dyDescent="0.35"/>
    <row r="639" ht="12.75" customHeight="1" x14ac:dyDescent="0.35"/>
    <row r="640" ht="12.75" customHeight="1" x14ac:dyDescent="0.35"/>
    <row r="641" ht="12.75" customHeight="1" x14ac:dyDescent="0.35"/>
    <row r="642" ht="12.75" customHeight="1" x14ac:dyDescent="0.35"/>
    <row r="643" ht="12.75" customHeight="1" x14ac:dyDescent="0.35"/>
    <row r="644" ht="12.75" customHeight="1" x14ac:dyDescent="0.35"/>
    <row r="645" ht="12.75" customHeight="1" x14ac:dyDescent="0.35"/>
    <row r="646" ht="12.75" customHeight="1" x14ac:dyDescent="0.35"/>
    <row r="647" ht="12.75" customHeight="1" x14ac:dyDescent="0.35"/>
    <row r="648" ht="12.75" customHeight="1" x14ac:dyDescent="0.35"/>
    <row r="649" ht="12.75" customHeight="1" x14ac:dyDescent="0.35"/>
    <row r="650" ht="12.75" customHeight="1" x14ac:dyDescent="0.35"/>
    <row r="651" ht="12.75" customHeight="1" x14ac:dyDescent="0.35"/>
    <row r="652" ht="12.75" customHeight="1" x14ac:dyDescent="0.35"/>
    <row r="653" ht="12.75" customHeight="1" x14ac:dyDescent="0.35"/>
    <row r="654" ht="12.75" customHeight="1" x14ac:dyDescent="0.35"/>
    <row r="655" ht="12.75" customHeight="1" x14ac:dyDescent="0.35"/>
    <row r="656" ht="12.75" customHeight="1" x14ac:dyDescent="0.35"/>
    <row r="657" ht="12.75" customHeight="1" x14ac:dyDescent="0.35"/>
    <row r="658" ht="12.75" customHeight="1" x14ac:dyDescent="0.35"/>
    <row r="659" ht="12.75" customHeight="1" x14ac:dyDescent="0.35"/>
    <row r="660" ht="12.75" customHeight="1" x14ac:dyDescent="0.35"/>
    <row r="661" ht="12.75" customHeight="1" x14ac:dyDescent="0.35"/>
    <row r="662" ht="12.75" customHeight="1" x14ac:dyDescent="0.35"/>
    <row r="663" ht="12.75" customHeight="1" x14ac:dyDescent="0.35"/>
    <row r="664" ht="12.75" customHeight="1" x14ac:dyDescent="0.35"/>
    <row r="665" ht="12.75" customHeight="1" x14ac:dyDescent="0.35"/>
    <row r="666" ht="12.75" customHeight="1" x14ac:dyDescent="0.35"/>
    <row r="667" ht="12.75" customHeight="1" x14ac:dyDescent="0.35"/>
    <row r="668" ht="12.75" customHeight="1" x14ac:dyDescent="0.35"/>
    <row r="669" ht="12.75" customHeight="1" x14ac:dyDescent="0.35"/>
    <row r="670" ht="12.75" customHeight="1" x14ac:dyDescent="0.35"/>
    <row r="671" ht="12.75" customHeight="1" x14ac:dyDescent="0.35"/>
    <row r="672" ht="12.75" customHeight="1" x14ac:dyDescent="0.35"/>
    <row r="673" ht="12.75" customHeight="1" x14ac:dyDescent="0.35"/>
    <row r="674" ht="12.75" customHeight="1" x14ac:dyDescent="0.35"/>
    <row r="675" ht="12.75" customHeight="1" x14ac:dyDescent="0.35"/>
    <row r="676" ht="12.75" customHeight="1" x14ac:dyDescent="0.35"/>
    <row r="677" ht="12.75" customHeight="1" x14ac:dyDescent="0.35"/>
    <row r="678" ht="12.75" customHeight="1" x14ac:dyDescent="0.35"/>
    <row r="679" ht="12.75" customHeight="1" x14ac:dyDescent="0.35"/>
    <row r="680" ht="12.75" customHeight="1" x14ac:dyDescent="0.35"/>
    <row r="681" ht="12.75" customHeight="1" x14ac:dyDescent="0.35"/>
    <row r="682" ht="12.75" customHeight="1" x14ac:dyDescent="0.35"/>
    <row r="683" ht="12.75" customHeight="1" x14ac:dyDescent="0.35"/>
    <row r="684" ht="12.75" customHeight="1" x14ac:dyDescent="0.35"/>
    <row r="685" ht="12.75" customHeight="1" x14ac:dyDescent="0.35"/>
    <row r="686" ht="12.75" customHeight="1" x14ac:dyDescent="0.35"/>
    <row r="687" ht="12.75" customHeight="1" x14ac:dyDescent="0.35"/>
    <row r="688" ht="12.75" customHeight="1" x14ac:dyDescent="0.35"/>
    <row r="689" ht="12.75" customHeight="1" x14ac:dyDescent="0.35"/>
    <row r="690" ht="12.75" customHeight="1" x14ac:dyDescent="0.35"/>
    <row r="691" ht="12.75" customHeight="1" x14ac:dyDescent="0.35"/>
    <row r="692" ht="12.75" customHeight="1" x14ac:dyDescent="0.35"/>
    <row r="693" ht="12.75" customHeight="1" x14ac:dyDescent="0.35"/>
    <row r="694" ht="12.75" customHeight="1" x14ac:dyDescent="0.35"/>
    <row r="695" ht="12.75" customHeight="1" x14ac:dyDescent="0.35"/>
    <row r="696" ht="12.75" customHeight="1" x14ac:dyDescent="0.35"/>
    <row r="697" ht="12.75" customHeight="1" x14ac:dyDescent="0.35"/>
    <row r="698" ht="12.75" customHeight="1" x14ac:dyDescent="0.35"/>
    <row r="699" ht="12.75" customHeight="1" x14ac:dyDescent="0.35"/>
    <row r="700" ht="12.75" customHeight="1" x14ac:dyDescent="0.35"/>
    <row r="701" ht="12.75" customHeight="1" x14ac:dyDescent="0.35"/>
    <row r="702" ht="12.75" customHeight="1" x14ac:dyDescent="0.35"/>
    <row r="703" ht="12.75" customHeight="1" x14ac:dyDescent="0.35"/>
    <row r="704" ht="12.75" customHeight="1" x14ac:dyDescent="0.35"/>
    <row r="705" ht="12.75" customHeight="1" x14ac:dyDescent="0.35"/>
    <row r="706" ht="12.75" customHeight="1" x14ac:dyDescent="0.35"/>
    <row r="707" ht="12.75" customHeight="1" x14ac:dyDescent="0.35"/>
    <row r="708" ht="12.75" customHeight="1" x14ac:dyDescent="0.35"/>
    <row r="709" ht="12.75" customHeight="1" x14ac:dyDescent="0.35"/>
    <row r="710" ht="12.75" customHeight="1" x14ac:dyDescent="0.35"/>
    <row r="711" ht="12.75" customHeight="1" x14ac:dyDescent="0.35"/>
    <row r="712" ht="12.75" customHeight="1" x14ac:dyDescent="0.35"/>
    <row r="713" ht="12.75" customHeight="1" x14ac:dyDescent="0.35"/>
    <row r="714" ht="12.75" customHeight="1" x14ac:dyDescent="0.35"/>
    <row r="715" ht="12.75" customHeight="1" x14ac:dyDescent="0.35"/>
    <row r="716" ht="12.75" customHeight="1" x14ac:dyDescent="0.35"/>
    <row r="717" ht="12.75" customHeight="1" x14ac:dyDescent="0.35"/>
    <row r="718" ht="12.75" customHeight="1" x14ac:dyDescent="0.35"/>
    <row r="719" ht="12.75" customHeight="1" x14ac:dyDescent="0.35"/>
    <row r="720" ht="12.75" customHeight="1" x14ac:dyDescent="0.35"/>
    <row r="721" ht="12.75" customHeight="1" x14ac:dyDescent="0.35"/>
    <row r="722" ht="12.75" customHeight="1" x14ac:dyDescent="0.35"/>
    <row r="723" ht="12.75" customHeight="1" x14ac:dyDescent="0.35"/>
    <row r="724" ht="12.75" customHeight="1" x14ac:dyDescent="0.35"/>
    <row r="725" ht="12.75" customHeight="1" x14ac:dyDescent="0.35"/>
    <row r="726" ht="12.75" customHeight="1" x14ac:dyDescent="0.35"/>
    <row r="727" ht="12.75" customHeight="1" x14ac:dyDescent="0.35"/>
    <row r="728" ht="12.75" customHeight="1" x14ac:dyDescent="0.35"/>
    <row r="729" ht="12.75" customHeight="1" x14ac:dyDescent="0.35"/>
    <row r="730" ht="12.75" customHeight="1" x14ac:dyDescent="0.35"/>
    <row r="731" ht="12.75" customHeight="1" x14ac:dyDescent="0.35"/>
    <row r="732" ht="12.75" customHeight="1" x14ac:dyDescent="0.35"/>
    <row r="733" ht="12.75" customHeight="1" x14ac:dyDescent="0.35"/>
    <row r="734" ht="12.75" customHeight="1" x14ac:dyDescent="0.35"/>
    <row r="735" ht="12.75" customHeight="1" x14ac:dyDescent="0.35"/>
    <row r="736" ht="12.75" customHeight="1" x14ac:dyDescent="0.35"/>
    <row r="737" ht="12.75" customHeight="1" x14ac:dyDescent="0.35"/>
    <row r="738" ht="12.75" customHeight="1" x14ac:dyDescent="0.35"/>
    <row r="739" ht="12.75" customHeight="1" x14ac:dyDescent="0.35"/>
    <row r="740" ht="12.75" customHeight="1" x14ac:dyDescent="0.35"/>
    <row r="741" ht="12.75" customHeight="1" x14ac:dyDescent="0.35"/>
    <row r="742" ht="12.75" customHeight="1" x14ac:dyDescent="0.35"/>
    <row r="743" ht="12.75" customHeight="1" x14ac:dyDescent="0.35"/>
    <row r="744" ht="12.75" customHeight="1" x14ac:dyDescent="0.35"/>
    <row r="745" ht="12.75" customHeight="1" x14ac:dyDescent="0.35"/>
    <row r="746" ht="12.75" customHeight="1" x14ac:dyDescent="0.35"/>
    <row r="747" ht="12.75" customHeight="1" x14ac:dyDescent="0.35"/>
    <row r="748" ht="12.75" customHeight="1" x14ac:dyDescent="0.35"/>
    <row r="749" ht="12.75" customHeight="1" x14ac:dyDescent="0.35"/>
    <row r="750" ht="12.75" customHeight="1" x14ac:dyDescent="0.35"/>
    <row r="751" ht="12.75" customHeight="1" x14ac:dyDescent="0.35"/>
    <row r="752" ht="12.75" customHeight="1" x14ac:dyDescent="0.35"/>
    <row r="753" ht="12.75" customHeight="1" x14ac:dyDescent="0.35"/>
    <row r="754" ht="12.75" customHeight="1" x14ac:dyDescent="0.35"/>
    <row r="755" ht="12.75" customHeight="1" x14ac:dyDescent="0.35"/>
    <row r="756" ht="12.75" customHeight="1" x14ac:dyDescent="0.35"/>
    <row r="757" ht="12.75" customHeight="1" x14ac:dyDescent="0.35"/>
    <row r="758" ht="12.75" customHeight="1" x14ac:dyDescent="0.35"/>
    <row r="759" ht="12.75" customHeight="1" x14ac:dyDescent="0.35"/>
    <row r="760" ht="12.75" customHeight="1" x14ac:dyDescent="0.35"/>
    <row r="761" ht="12.75" customHeight="1" x14ac:dyDescent="0.35"/>
    <row r="762" ht="12.75" customHeight="1" x14ac:dyDescent="0.35"/>
    <row r="763" ht="12.75" customHeight="1" x14ac:dyDescent="0.35"/>
    <row r="764" ht="12.75" customHeight="1" x14ac:dyDescent="0.35"/>
    <row r="765" ht="12.75" customHeight="1" x14ac:dyDescent="0.35"/>
    <row r="766" ht="12.75" customHeight="1" x14ac:dyDescent="0.35"/>
    <row r="767" ht="12.75" customHeight="1" x14ac:dyDescent="0.35"/>
    <row r="768" ht="12.75" customHeight="1" x14ac:dyDescent="0.35"/>
    <row r="769" ht="12.75" customHeight="1" x14ac:dyDescent="0.35"/>
    <row r="770" ht="12.75" customHeight="1" x14ac:dyDescent="0.35"/>
    <row r="771" ht="12.75" customHeight="1" x14ac:dyDescent="0.35"/>
    <row r="772" ht="12.75" customHeight="1" x14ac:dyDescent="0.35"/>
    <row r="773" ht="12.75" customHeight="1" x14ac:dyDescent="0.35"/>
    <row r="774" ht="12.75" customHeight="1" x14ac:dyDescent="0.35"/>
    <row r="775" ht="12.75" customHeight="1" x14ac:dyDescent="0.35"/>
    <row r="776" ht="12.75" customHeight="1" x14ac:dyDescent="0.35"/>
    <row r="777" ht="12.75" customHeight="1" x14ac:dyDescent="0.35"/>
    <row r="778" ht="12.75" customHeight="1" x14ac:dyDescent="0.35"/>
    <row r="779" ht="12.75" customHeight="1" x14ac:dyDescent="0.35"/>
    <row r="780" ht="12.75" customHeight="1" x14ac:dyDescent="0.35"/>
    <row r="781" ht="12.75" customHeight="1" x14ac:dyDescent="0.35"/>
    <row r="782" ht="12.75" customHeight="1" x14ac:dyDescent="0.35"/>
    <row r="783" ht="12.75" customHeight="1" x14ac:dyDescent="0.35"/>
    <row r="784" ht="12.75" customHeight="1" x14ac:dyDescent="0.35"/>
    <row r="785" ht="12.75" customHeight="1" x14ac:dyDescent="0.35"/>
    <row r="786" ht="12.75" customHeight="1" x14ac:dyDescent="0.35"/>
    <row r="787" ht="12.75" customHeight="1" x14ac:dyDescent="0.35"/>
    <row r="788" ht="12.75" customHeight="1" x14ac:dyDescent="0.35"/>
    <row r="789" ht="12.75" customHeight="1" x14ac:dyDescent="0.35"/>
    <row r="790" ht="12.75" customHeight="1" x14ac:dyDescent="0.35"/>
    <row r="791" ht="12.75" customHeight="1" x14ac:dyDescent="0.35"/>
    <row r="792" ht="12.75" customHeight="1" x14ac:dyDescent="0.35"/>
    <row r="793" ht="12.75" customHeight="1" x14ac:dyDescent="0.35"/>
    <row r="794" ht="12.75" customHeight="1" x14ac:dyDescent="0.35"/>
    <row r="795" ht="12.75" customHeight="1" x14ac:dyDescent="0.35"/>
    <row r="796" ht="12.75" customHeight="1" x14ac:dyDescent="0.35"/>
    <row r="797" ht="12.75" customHeight="1" x14ac:dyDescent="0.35"/>
    <row r="798" ht="12.75" customHeight="1" x14ac:dyDescent="0.35"/>
    <row r="799" ht="12.75" customHeight="1" x14ac:dyDescent="0.35"/>
    <row r="800" ht="12.75" customHeight="1" x14ac:dyDescent="0.35"/>
    <row r="801" ht="12.75" customHeight="1" x14ac:dyDescent="0.35"/>
    <row r="802" ht="12.75" customHeight="1" x14ac:dyDescent="0.35"/>
    <row r="803" ht="12.75" customHeight="1" x14ac:dyDescent="0.35"/>
    <row r="804" ht="12.75" customHeight="1" x14ac:dyDescent="0.35"/>
    <row r="805" ht="12.75" customHeight="1" x14ac:dyDescent="0.35"/>
    <row r="806" ht="12.75" customHeight="1" x14ac:dyDescent="0.35"/>
    <row r="807" ht="12.75" customHeight="1" x14ac:dyDescent="0.35"/>
    <row r="808" ht="12.75" customHeight="1" x14ac:dyDescent="0.35"/>
    <row r="809" ht="12.75" customHeight="1" x14ac:dyDescent="0.35"/>
    <row r="810" ht="12.75" customHeight="1" x14ac:dyDescent="0.35"/>
    <row r="811" ht="12.75" customHeight="1" x14ac:dyDescent="0.35"/>
    <row r="812" ht="12.75" customHeight="1" x14ac:dyDescent="0.35"/>
    <row r="813" ht="12.75" customHeight="1" x14ac:dyDescent="0.35"/>
    <row r="814" ht="12.75" customHeight="1" x14ac:dyDescent="0.35"/>
    <row r="815" ht="12.75" customHeight="1" x14ac:dyDescent="0.35"/>
    <row r="816" ht="12.75" customHeight="1" x14ac:dyDescent="0.35"/>
    <row r="817" ht="12.75" customHeight="1" x14ac:dyDescent="0.35"/>
    <row r="818" ht="12.75" customHeight="1" x14ac:dyDescent="0.35"/>
    <row r="819" ht="12.75" customHeight="1" x14ac:dyDescent="0.35"/>
    <row r="820" ht="12.75" customHeight="1" x14ac:dyDescent="0.35"/>
    <row r="821" ht="12.75" customHeight="1" x14ac:dyDescent="0.35"/>
    <row r="822" ht="12.75" customHeight="1" x14ac:dyDescent="0.35"/>
    <row r="823" ht="12.75" customHeight="1" x14ac:dyDescent="0.35"/>
    <row r="824" ht="12.75" customHeight="1" x14ac:dyDescent="0.35"/>
    <row r="825" ht="12.75" customHeight="1" x14ac:dyDescent="0.35"/>
    <row r="826" ht="12.75" customHeight="1" x14ac:dyDescent="0.35"/>
    <row r="827" ht="12.75" customHeight="1" x14ac:dyDescent="0.35"/>
    <row r="828" ht="12.75" customHeight="1" x14ac:dyDescent="0.35"/>
    <row r="829" ht="12.75" customHeight="1" x14ac:dyDescent="0.35"/>
    <row r="830" ht="12.75" customHeight="1" x14ac:dyDescent="0.35"/>
    <row r="831" ht="12.75" customHeight="1" x14ac:dyDescent="0.35"/>
    <row r="832" ht="12.75" customHeight="1" x14ac:dyDescent="0.35"/>
    <row r="833" ht="12.75" customHeight="1" x14ac:dyDescent="0.35"/>
    <row r="834" ht="12.75" customHeight="1" x14ac:dyDescent="0.35"/>
    <row r="835" ht="12.75" customHeight="1" x14ac:dyDescent="0.35"/>
    <row r="836" ht="12.75" customHeight="1" x14ac:dyDescent="0.35"/>
    <row r="837" ht="12.75" customHeight="1" x14ac:dyDescent="0.35"/>
    <row r="838" ht="12.75" customHeight="1" x14ac:dyDescent="0.35"/>
    <row r="839" ht="12.75" customHeight="1" x14ac:dyDescent="0.35"/>
    <row r="840" ht="12.75" customHeight="1" x14ac:dyDescent="0.35"/>
    <row r="841" ht="12.75" customHeight="1" x14ac:dyDescent="0.35"/>
    <row r="842" ht="12.75" customHeight="1" x14ac:dyDescent="0.35"/>
    <row r="843" ht="12.75" customHeight="1" x14ac:dyDescent="0.35"/>
    <row r="844" ht="12.75" customHeight="1" x14ac:dyDescent="0.35"/>
    <row r="845" ht="12.75" customHeight="1" x14ac:dyDescent="0.35"/>
    <row r="846" ht="12.75" customHeight="1" x14ac:dyDescent="0.35"/>
    <row r="847" ht="12.75" customHeight="1" x14ac:dyDescent="0.35"/>
    <row r="848" ht="12.75" customHeight="1" x14ac:dyDescent="0.35"/>
    <row r="849" ht="12.75" customHeight="1" x14ac:dyDescent="0.35"/>
    <row r="850" ht="12.75" customHeight="1" x14ac:dyDescent="0.35"/>
    <row r="851" ht="12.75" customHeight="1" x14ac:dyDescent="0.35"/>
    <row r="852" ht="12.75" customHeight="1" x14ac:dyDescent="0.35"/>
    <row r="853" ht="12.75" customHeight="1" x14ac:dyDescent="0.35"/>
    <row r="854" ht="12.75" customHeight="1" x14ac:dyDescent="0.35"/>
    <row r="855" ht="12.75" customHeight="1" x14ac:dyDescent="0.35"/>
    <row r="856" ht="12.75" customHeight="1" x14ac:dyDescent="0.35"/>
    <row r="857" ht="12.75" customHeight="1" x14ac:dyDescent="0.35"/>
    <row r="858" ht="12.75" customHeight="1" x14ac:dyDescent="0.35"/>
    <row r="859" ht="12.75" customHeight="1" x14ac:dyDescent="0.35"/>
    <row r="860" ht="12.75" customHeight="1" x14ac:dyDescent="0.35"/>
    <row r="861" ht="12.75" customHeight="1" x14ac:dyDescent="0.35"/>
    <row r="862" ht="12.75" customHeight="1" x14ac:dyDescent="0.35"/>
    <row r="863" ht="12.75" customHeight="1" x14ac:dyDescent="0.35"/>
    <row r="864" ht="12.75" customHeight="1" x14ac:dyDescent="0.35"/>
    <row r="865" ht="12.75" customHeight="1" x14ac:dyDescent="0.35"/>
    <row r="866" ht="12.75" customHeight="1" x14ac:dyDescent="0.35"/>
    <row r="867" ht="12.75" customHeight="1" x14ac:dyDescent="0.35"/>
    <row r="868" ht="12.75" customHeight="1" x14ac:dyDescent="0.35"/>
    <row r="869" ht="12.75" customHeight="1" x14ac:dyDescent="0.35"/>
    <row r="870" ht="12.75" customHeight="1" x14ac:dyDescent="0.35"/>
    <row r="871" ht="12.75" customHeight="1" x14ac:dyDescent="0.35"/>
    <row r="872" ht="12.75" customHeight="1" x14ac:dyDescent="0.35"/>
    <row r="873" ht="12.75" customHeight="1" x14ac:dyDescent="0.35"/>
    <row r="874" ht="12.75" customHeight="1" x14ac:dyDescent="0.35"/>
    <row r="875" ht="12.75" customHeight="1" x14ac:dyDescent="0.35"/>
    <row r="876" ht="12.75" customHeight="1" x14ac:dyDescent="0.35"/>
    <row r="877" ht="12.75" customHeight="1" x14ac:dyDescent="0.35"/>
    <row r="878" ht="12.75" customHeight="1" x14ac:dyDescent="0.35"/>
    <row r="879" ht="12.75" customHeight="1" x14ac:dyDescent="0.35"/>
    <row r="880" ht="12.75" customHeight="1" x14ac:dyDescent="0.35"/>
    <row r="881" ht="12.75" customHeight="1" x14ac:dyDescent="0.35"/>
    <row r="882" ht="12.75" customHeight="1" x14ac:dyDescent="0.35"/>
    <row r="883" ht="12.75" customHeight="1" x14ac:dyDescent="0.35"/>
    <row r="884" ht="12.75" customHeight="1" x14ac:dyDescent="0.35"/>
    <row r="885" ht="12.75" customHeight="1" x14ac:dyDescent="0.35"/>
    <row r="886" ht="12.75" customHeight="1" x14ac:dyDescent="0.35"/>
    <row r="887" ht="12.75" customHeight="1" x14ac:dyDescent="0.35"/>
    <row r="888" ht="12.75" customHeight="1" x14ac:dyDescent="0.35"/>
    <row r="889" ht="12.75" customHeight="1" x14ac:dyDescent="0.35"/>
    <row r="890" ht="12.75" customHeight="1" x14ac:dyDescent="0.35"/>
    <row r="891" ht="12.75" customHeight="1" x14ac:dyDescent="0.35"/>
    <row r="892" ht="12.75" customHeight="1" x14ac:dyDescent="0.35"/>
    <row r="893" ht="12.75" customHeight="1" x14ac:dyDescent="0.35"/>
    <row r="894" ht="12.75" customHeight="1" x14ac:dyDescent="0.35"/>
    <row r="895" ht="12.75" customHeight="1" x14ac:dyDescent="0.35"/>
    <row r="896" ht="12.75" customHeight="1" x14ac:dyDescent="0.35"/>
    <row r="897" ht="12.75" customHeight="1" x14ac:dyDescent="0.35"/>
    <row r="898" ht="12.75" customHeight="1" x14ac:dyDescent="0.35"/>
    <row r="899" ht="12.75" customHeight="1" x14ac:dyDescent="0.35"/>
    <row r="900" ht="12.75" customHeight="1" x14ac:dyDescent="0.35"/>
    <row r="901" ht="12.75" customHeight="1" x14ac:dyDescent="0.35"/>
    <row r="902" ht="12.75" customHeight="1" x14ac:dyDescent="0.35"/>
    <row r="903" ht="12.75" customHeight="1" x14ac:dyDescent="0.35"/>
    <row r="904" ht="12.75" customHeight="1" x14ac:dyDescent="0.35"/>
    <row r="905" ht="12.75" customHeight="1" x14ac:dyDescent="0.35"/>
    <row r="906" ht="12.75" customHeight="1" x14ac:dyDescent="0.35"/>
    <row r="907" ht="12.75" customHeight="1" x14ac:dyDescent="0.35"/>
    <row r="908" ht="12.75" customHeight="1" x14ac:dyDescent="0.35"/>
    <row r="909" ht="12.75" customHeight="1" x14ac:dyDescent="0.35"/>
    <row r="910" ht="12.75" customHeight="1" x14ac:dyDescent="0.35"/>
    <row r="911" ht="12.75" customHeight="1" x14ac:dyDescent="0.35"/>
    <row r="912" ht="12.75" customHeight="1" x14ac:dyDescent="0.35"/>
    <row r="913" ht="12.75" customHeight="1" x14ac:dyDescent="0.35"/>
    <row r="914" ht="12.75" customHeight="1" x14ac:dyDescent="0.35"/>
    <row r="915" ht="12.75" customHeight="1" x14ac:dyDescent="0.35"/>
    <row r="916" ht="12.75" customHeight="1" x14ac:dyDescent="0.35"/>
    <row r="917" ht="12.75" customHeight="1" x14ac:dyDescent="0.35"/>
    <row r="918" ht="12.75" customHeight="1" x14ac:dyDescent="0.35"/>
    <row r="919" ht="12.75" customHeight="1" x14ac:dyDescent="0.35"/>
    <row r="920" ht="12.75" customHeight="1" x14ac:dyDescent="0.35"/>
    <row r="921" ht="12.75" customHeight="1" x14ac:dyDescent="0.35"/>
    <row r="922" ht="12.75" customHeight="1" x14ac:dyDescent="0.35"/>
    <row r="923" ht="12.75" customHeight="1" x14ac:dyDescent="0.35"/>
    <row r="924" ht="12.75" customHeight="1" x14ac:dyDescent="0.35"/>
    <row r="925" ht="12.75" customHeight="1" x14ac:dyDescent="0.35"/>
    <row r="926" ht="12.75" customHeight="1" x14ac:dyDescent="0.35"/>
    <row r="927" ht="12.75" customHeight="1" x14ac:dyDescent="0.35"/>
    <row r="928" ht="12.75" customHeight="1" x14ac:dyDescent="0.35"/>
    <row r="929" ht="12.75" customHeight="1" x14ac:dyDescent="0.35"/>
    <row r="930" ht="12.75" customHeight="1" x14ac:dyDescent="0.35"/>
    <row r="931" ht="12.75" customHeight="1" x14ac:dyDescent="0.35"/>
    <row r="932" ht="12.75" customHeight="1" x14ac:dyDescent="0.35"/>
    <row r="933" ht="12.75" customHeight="1" x14ac:dyDescent="0.35"/>
    <row r="934" ht="12.75" customHeight="1" x14ac:dyDescent="0.35"/>
    <row r="935" ht="12.75" customHeight="1" x14ac:dyDescent="0.35"/>
    <row r="936" ht="12.75" customHeight="1" x14ac:dyDescent="0.35"/>
    <row r="937" ht="12.75" customHeight="1" x14ac:dyDescent="0.35"/>
    <row r="938" ht="12.75" customHeight="1" x14ac:dyDescent="0.35"/>
    <row r="939" ht="12.75" customHeight="1" x14ac:dyDescent="0.35"/>
    <row r="940" ht="12.75" customHeight="1" x14ac:dyDescent="0.35"/>
    <row r="941" ht="12.75" customHeight="1" x14ac:dyDescent="0.35"/>
    <row r="942" ht="12.75" customHeight="1" x14ac:dyDescent="0.35"/>
    <row r="943" ht="12.75" customHeight="1" x14ac:dyDescent="0.35"/>
    <row r="944" ht="12.75" customHeight="1" x14ac:dyDescent="0.35"/>
    <row r="945" ht="12.75" customHeight="1" x14ac:dyDescent="0.35"/>
    <row r="946" ht="12.75" customHeight="1" x14ac:dyDescent="0.35"/>
    <row r="947" ht="12.75" customHeight="1" x14ac:dyDescent="0.35"/>
    <row r="948" ht="12.75" customHeight="1" x14ac:dyDescent="0.35"/>
    <row r="949" ht="12.75" customHeight="1" x14ac:dyDescent="0.35"/>
    <row r="950" ht="12.75" customHeight="1" x14ac:dyDescent="0.35"/>
    <row r="951" ht="12.75" customHeight="1" x14ac:dyDescent="0.35"/>
    <row r="952" ht="12.75" customHeight="1" x14ac:dyDescent="0.35"/>
    <row r="953" ht="12.75" customHeight="1" x14ac:dyDescent="0.35"/>
    <row r="954" ht="12.75" customHeight="1" x14ac:dyDescent="0.35"/>
    <row r="955" ht="12.75" customHeight="1" x14ac:dyDescent="0.35"/>
    <row r="956" ht="12.75" customHeight="1" x14ac:dyDescent="0.35"/>
    <row r="957" ht="12.75" customHeight="1" x14ac:dyDescent="0.35"/>
    <row r="958" ht="12.75" customHeight="1" x14ac:dyDescent="0.35"/>
    <row r="959" ht="12.75" customHeight="1" x14ac:dyDescent="0.35"/>
    <row r="960" ht="12.75" customHeight="1" x14ac:dyDescent="0.35"/>
    <row r="961" ht="12.75" customHeight="1" x14ac:dyDescent="0.35"/>
    <row r="962" ht="12.75" customHeight="1" x14ac:dyDescent="0.35"/>
    <row r="963" ht="12.75" customHeight="1" x14ac:dyDescent="0.35"/>
    <row r="964" ht="12.75" customHeight="1" x14ac:dyDescent="0.35"/>
    <row r="965" ht="12.75" customHeight="1" x14ac:dyDescent="0.35"/>
    <row r="966" ht="12.75" customHeight="1" x14ac:dyDescent="0.35"/>
    <row r="967" ht="12.75" customHeight="1" x14ac:dyDescent="0.35"/>
    <row r="968" ht="12.75" customHeight="1" x14ac:dyDescent="0.35"/>
    <row r="969" ht="12.75" customHeight="1" x14ac:dyDescent="0.35"/>
    <row r="970" ht="12.75" customHeight="1" x14ac:dyDescent="0.35"/>
    <row r="971" ht="12.75" customHeight="1" x14ac:dyDescent="0.35"/>
    <row r="972" ht="12.75" customHeight="1" x14ac:dyDescent="0.35"/>
    <row r="973" ht="12.75" customHeight="1" x14ac:dyDescent="0.35"/>
    <row r="974" ht="12.75" customHeight="1" x14ac:dyDescent="0.35"/>
    <row r="975" ht="12.75" customHeight="1" x14ac:dyDescent="0.35"/>
    <row r="976" ht="12.75" customHeight="1" x14ac:dyDescent="0.35"/>
    <row r="977" ht="12.75" customHeight="1" x14ac:dyDescent="0.35"/>
    <row r="978" ht="12.75" customHeight="1" x14ac:dyDescent="0.35"/>
    <row r="979" ht="12.75" customHeight="1" x14ac:dyDescent="0.35"/>
    <row r="980" ht="12.75" customHeight="1" x14ac:dyDescent="0.35"/>
    <row r="981" ht="12.75" customHeight="1" x14ac:dyDescent="0.35"/>
    <row r="982" ht="12.75" customHeight="1" x14ac:dyDescent="0.35"/>
    <row r="983" ht="12.75" customHeight="1" x14ac:dyDescent="0.35"/>
    <row r="984" ht="12.75" customHeight="1" x14ac:dyDescent="0.35"/>
    <row r="985" ht="12.75" customHeight="1" x14ac:dyDescent="0.35"/>
    <row r="986" ht="12.75" customHeight="1" x14ac:dyDescent="0.35"/>
    <row r="987" ht="12.75" customHeight="1" x14ac:dyDescent="0.35"/>
    <row r="988" ht="12.75" customHeight="1" x14ac:dyDescent="0.35"/>
    <row r="989" ht="12.75" customHeight="1" x14ac:dyDescent="0.35"/>
    <row r="990" ht="12.75" customHeight="1" x14ac:dyDescent="0.35"/>
    <row r="991" ht="12.75" customHeight="1" x14ac:dyDescent="0.35"/>
    <row r="992" ht="12.75" customHeight="1" x14ac:dyDescent="0.35"/>
    <row r="993" ht="12.75" customHeight="1" x14ac:dyDescent="0.35"/>
    <row r="994" ht="12.75" customHeight="1" x14ac:dyDescent="0.35"/>
    <row r="995" ht="12.75" customHeight="1" x14ac:dyDescent="0.35"/>
    <row r="996" ht="12.75" customHeight="1" x14ac:dyDescent="0.35"/>
    <row r="997" ht="12.75" customHeight="1" x14ac:dyDescent="0.35"/>
    <row r="998" ht="12.75" customHeight="1" x14ac:dyDescent="0.35"/>
    <row r="999" ht="12.75" customHeight="1" x14ac:dyDescent="0.35"/>
    <row r="1000" ht="12.75" customHeight="1" x14ac:dyDescent="0.35"/>
    <row r="1001" ht="12.75" customHeight="1" x14ac:dyDescent="0.35"/>
    <row r="1002" ht="12.75" customHeight="1" x14ac:dyDescent="0.35"/>
    <row r="1003" ht="12.75" customHeight="1" x14ac:dyDescent="0.35"/>
    <row r="1004" ht="12.75" customHeight="1" x14ac:dyDescent="0.35"/>
    <row r="1005" ht="12.75" customHeight="1" x14ac:dyDescent="0.35"/>
    <row r="1006" ht="12.75" customHeight="1" x14ac:dyDescent="0.35"/>
    <row r="1007" ht="12.75" customHeight="1" x14ac:dyDescent="0.35"/>
    <row r="1008" ht="12.75" customHeight="1" x14ac:dyDescent="0.35"/>
    <row r="1009" ht="12.75" customHeight="1" x14ac:dyDescent="0.35"/>
    <row r="1010" ht="12.75" customHeight="1" x14ac:dyDescent="0.35"/>
    <row r="1011" ht="12.75" customHeight="1" x14ac:dyDescent="0.35"/>
    <row r="1012" ht="12.75" customHeight="1" x14ac:dyDescent="0.35"/>
    <row r="1013" ht="12.75" customHeight="1" x14ac:dyDescent="0.35"/>
    <row r="1014" ht="12.75" customHeight="1" x14ac:dyDescent="0.35"/>
    <row r="1015" ht="12.75" customHeight="1" x14ac:dyDescent="0.35"/>
    <row r="1016" ht="12.75" customHeight="1" x14ac:dyDescent="0.35"/>
    <row r="1017" ht="12.75" customHeight="1" x14ac:dyDescent="0.35"/>
    <row r="1018" ht="12.75" customHeight="1" x14ac:dyDescent="0.35"/>
    <row r="1019" ht="12.75" customHeight="1" x14ac:dyDescent="0.35"/>
    <row r="1020" ht="12.75" customHeight="1" x14ac:dyDescent="0.35"/>
    <row r="1021" ht="12.75" customHeight="1" x14ac:dyDescent="0.35"/>
    <row r="1022" ht="12.75" customHeight="1" x14ac:dyDescent="0.35"/>
    <row r="1023" ht="12.75" customHeight="1" x14ac:dyDescent="0.35"/>
    <row r="1024" ht="12.75" customHeight="1" x14ac:dyDescent="0.35"/>
    <row r="1025" ht="12.75" customHeight="1" x14ac:dyDescent="0.35"/>
    <row r="1026" ht="12.75" customHeight="1" x14ac:dyDescent="0.35"/>
    <row r="1027" ht="12.75" customHeight="1" x14ac:dyDescent="0.35"/>
    <row r="1028" ht="12.75" customHeight="1" x14ac:dyDescent="0.35"/>
    <row r="1029" ht="12.75" customHeight="1" x14ac:dyDescent="0.35"/>
    <row r="1030" ht="12.75" customHeight="1" x14ac:dyDescent="0.35"/>
    <row r="1031" ht="12.75" customHeight="1" x14ac:dyDescent="0.35"/>
    <row r="1032" ht="12.75" customHeight="1" x14ac:dyDescent="0.35"/>
    <row r="1033" ht="12.75" customHeight="1" x14ac:dyDescent="0.35"/>
    <row r="1034" ht="12.75" customHeight="1" x14ac:dyDescent="0.35"/>
    <row r="1035" ht="12.75" customHeight="1" x14ac:dyDescent="0.35"/>
    <row r="1036" ht="12.75" customHeight="1" x14ac:dyDescent="0.35"/>
    <row r="1037" ht="12.75" customHeight="1" x14ac:dyDescent="0.35"/>
    <row r="1038" ht="12.75" customHeight="1" x14ac:dyDescent="0.35"/>
    <row r="1039" ht="12.75" customHeight="1" x14ac:dyDescent="0.35"/>
    <row r="1040" ht="12.75" customHeight="1" x14ac:dyDescent="0.35"/>
    <row r="1041" ht="12.75" customHeight="1" x14ac:dyDescent="0.35"/>
    <row r="1042" ht="12.75" customHeight="1" x14ac:dyDescent="0.35"/>
    <row r="1043" ht="12.75" customHeight="1" x14ac:dyDescent="0.35"/>
    <row r="1044" ht="12.75" customHeight="1" x14ac:dyDescent="0.35"/>
    <row r="1045" ht="12.75" customHeight="1" x14ac:dyDescent="0.35"/>
    <row r="1046" ht="12.75" customHeight="1" x14ac:dyDescent="0.35"/>
    <row r="1047" ht="12.75" customHeight="1" x14ac:dyDescent="0.35"/>
    <row r="1048" ht="12.75" customHeight="1" x14ac:dyDescent="0.35"/>
    <row r="1049" ht="12.75" customHeight="1" x14ac:dyDescent="0.35"/>
    <row r="1050" ht="12.75" customHeight="1" x14ac:dyDescent="0.35"/>
    <row r="1051" ht="12.75" customHeight="1" x14ac:dyDescent="0.35"/>
    <row r="1052" ht="12.75" customHeight="1" x14ac:dyDescent="0.35"/>
    <row r="1053" ht="12.75" customHeight="1" x14ac:dyDescent="0.35"/>
    <row r="1054" ht="12.75" customHeight="1" x14ac:dyDescent="0.35"/>
    <row r="1055" ht="12.75" customHeight="1" x14ac:dyDescent="0.35"/>
    <row r="1056" ht="12.75" customHeight="1" x14ac:dyDescent="0.35"/>
    <row r="1057" ht="12.75" customHeight="1" x14ac:dyDescent="0.35"/>
    <row r="1058" ht="12.75" customHeight="1" x14ac:dyDescent="0.35"/>
    <row r="1059" ht="12.75" customHeight="1" x14ac:dyDescent="0.35"/>
    <row r="1060" ht="12.75" customHeight="1" x14ac:dyDescent="0.35"/>
    <row r="1061" ht="12.75" customHeight="1" x14ac:dyDescent="0.35"/>
    <row r="1062" ht="12.75" customHeight="1" x14ac:dyDescent="0.35"/>
    <row r="1063" ht="12.75" customHeight="1" x14ac:dyDescent="0.35"/>
    <row r="1064" ht="12.75" customHeight="1" x14ac:dyDescent="0.35"/>
    <row r="1065" ht="12.75" customHeight="1" x14ac:dyDescent="0.35"/>
    <row r="1066" ht="12.75" customHeight="1" x14ac:dyDescent="0.35"/>
    <row r="1067" ht="12.75" customHeight="1" x14ac:dyDescent="0.35"/>
    <row r="1068" ht="12.75" customHeight="1" x14ac:dyDescent="0.35"/>
    <row r="1069" ht="12.75" customHeight="1" x14ac:dyDescent="0.35"/>
    <row r="1070" ht="12.75" customHeight="1" x14ac:dyDescent="0.35"/>
    <row r="1071" ht="12.75" customHeight="1" x14ac:dyDescent="0.35"/>
    <row r="1072" ht="12.75" customHeight="1" x14ac:dyDescent="0.35"/>
    <row r="1073" ht="12.75" customHeight="1" x14ac:dyDescent="0.35"/>
    <row r="1074" ht="12.75" customHeight="1" x14ac:dyDescent="0.35"/>
    <row r="1075" ht="12.75" customHeight="1" x14ac:dyDescent="0.35"/>
    <row r="1076" ht="12.75" customHeight="1" x14ac:dyDescent="0.35"/>
    <row r="1077" ht="12.75" customHeight="1" x14ac:dyDescent="0.35"/>
    <row r="1078" ht="12.75" customHeight="1" x14ac:dyDescent="0.35"/>
    <row r="1079" ht="12.75" customHeight="1" x14ac:dyDescent="0.35"/>
    <row r="1080" ht="12.75" customHeight="1" x14ac:dyDescent="0.35"/>
    <row r="1081" ht="12.75" customHeight="1" x14ac:dyDescent="0.35"/>
    <row r="1082" ht="12.75" customHeight="1" x14ac:dyDescent="0.35"/>
    <row r="1083" ht="12.75" customHeight="1" x14ac:dyDescent="0.35"/>
    <row r="1084" ht="12.75" customHeight="1" x14ac:dyDescent="0.35"/>
    <row r="1085" ht="12.75" customHeight="1" x14ac:dyDescent="0.35"/>
    <row r="1086" ht="12.75" customHeight="1" x14ac:dyDescent="0.35"/>
    <row r="1087" ht="12.75" customHeight="1" x14ac:dyDescent="0.35"/>
    <row r="1088" ht="12.75" customHeight="1" x14ac:dyDescent="0.35"/>
    <row r="1089" ht="12.75" customHeight="1" x14ac:dyDescent="0.35"/>
    <row r="1090" ht="12.75" customHeight="1" x14ac:dyDescent="0.35"/>
    <row r="1091" ht="12.75" customHeight="1" x14ac:dyDescent="0.35"/>
    <row r="1092" ht="12.75" customHeight="1" x14ac:dyDescent="0.35"/>
    <row r="1093" ht="12.75" customHeight="1" x14ac:dyDescent="0.35"/>
    <row r="1094" ht="12.75" customHeight="1" x14ac:dyDescent="0.35"/>
    <row r="1095" ht="12.75" customHeight="1" x14ac:dyDescent="0.35"/>
    <row r="1096" ht="12.75" customHeight="1" x14ac:dyDescent="0.35"/>
    <row r="1097" ht="12.75" customHeight="1" x14ac:dyDescent="0.35"/>
    <row r="1098" ht="12.75" customHeight="1" x14ac:dyDescent="0.35"/>
    <row r="1099" ht="12.75" customHeight="1" x14ac:dyDescent="0.35"/>
    <row r="1100" ht="12.75" customHeight="1" x14ac:dyDescent="0.35"/>
    <row r="1101" ht="12.75" customHeight="1" x14ac:dyDescent="0.35"/>
    <row r="1102" ht="12.75" customHeight="1" x14ac:dyDescent="0.35"/>
    <row r="1103" ht="12.75" customHeight="1" x14ac:dyDescent="0.35"/>
    <row r="1104" ht="12.75" customHeight="1" x14ac:dyDescent="0.35"/>
    <row r="1105" ht="12.75" customHeight="1" x14ac:dyDescent="0.35"/>
    <row r="1106" ht="12.75" customHeight="1" x14ac:dyDescent="0.35"/>
    <row r="1107" ht="12.75" customHeight="1" x14ac:dyDescent="0.35"/>
    <row r="1108" ht="12.75" customHeight="1" x14ac:dyDescent="0.35"/>
    <row r="1109" ht="12.75" customHeight="1" x14ac:dyDescent="0.35"/>
    <row r="1110" ht="12.75" customHeight="1" x14ac:dyDescent="0.35"/>
    <row r="1111" ht="12.75" customHeight="1" x14ac:dyDescent="0.35"/>
    <row r="1112" ht="12.75" customHeight="1" x14ac:dyDescent="0.35"/>
    <row r="1113" ht="12.75" customHeight="1" x14ac:dyDescent="0.35"/>
    <row r="1114" ht="12.75" customHeight="1" x14ac:dyDescent="0.35"/>
    <row r="1115" ht="12.75" customHeight="1" x14ac:dyDescent="0.35"/>
    <row r="1116" ht="12.75" customHeight="1" x14ac:dyDescent="0.35"/>
    <row r="1117" ht="12.75" customHeight="1" x14ac:dyDescent="0.35"/>
    <row r="1118" ht="12.75" customHeight="1" x14ac:dyDescent="0.35"/>
    <row r="1119" ht="12.75" customHeight="1" x14ac:dyDescent="0.35"/>
    <row r="1120" ht="12.75" customHeight="1" x14ac:dyDescent="0.35"/>
    <row r="1121" ht="12.75" customHeight="1" x14ac:dyDescent="0.35"/>
    <row r="1122" ht="12.75" customHeight="1" x14ac:dyDescent="0.35"/>
    <row r="1123" ht="12.75" customHeight="1" x14ac:dyDescent="0.35"/>
    <row r="1124" ht="12.75" customHeight="1" x14ac:dyDescent="0.35"/>
    <row r="1125" ht="12.75" customHeight="1" x14ac:dyDescent="0.35"/>
    <row r="1126" ht="12.75" customHeight="1" x14ac:dyDescent="0.35"/>
    <row r="1127" ht="12.75" customHeight="1" x14ac:dyDescent="0.35"/>
    <row r="1128" ht="12.75" customHeight="1" x14ac:dyDescent="0.35"/>
    <row r="1129" ht="12.75" customHeight="1" x14ac:dyDescent="0.35"/>
    <row r="1130" ht="12.75" customHeight="1" x14ac:dyDescent="0.35"/>
    <row r="1131" ht="12.75" customHeight="1" x14ac:dyDescent="0.35"/>
    <row r="1132" ht="12.75" customHeight="1" x14ac:dyDescent="0.35"/>
    <row r="1133" ht="12.75" customHeight="1" x14ac:dyDescent="0.35"/>
    <row r="1134" ht="12.75" customHeight="1" x14ac:dyDescent="0.35"/>
    <row r="1135" ht="12.75" customHeight="1" x14ac:dyDescent="0.35"/>
    <row r="1136" ht="12.75" customHeight="1" x14ac:dyDescent="0.35"/>
    <row r="1137" ht="12.75" customHeight="1" x14ac:dyDescent="0.35"/>
    <row r="1138" ht="12.75" customHeight="1" x14ac:dyDescent="0.35"/>
    <row r="1139" ht="12.75" customHeight="1" x14ac:dyDescent="0.35"/>
    <row r="1140" ht="12.75" customHeight="1" x14ac:dyDescent="0.35"/>
    <row r="1141" ht="12.75" customHeight="1" x14ac:dyDescent="0.35"/>
    <row r="1142" ht="12.75" customHeight="1" x14ac:dyDescent="0.35"/>
    <row r="1143" ht="12.75" customHeight="1" x14ac:dyDescent="0.35"/>
    <row r="1144" ht="12.75" customHeight="1" x14ac:dyDescent="0.35"/>
    <row r="1145" ht="12.75" customHeight="1" x14ac:dyDescent="0.35"/>
    <row r="1146" ht="12.75" customHeight="1" x14ac:dyDescent="0.35"/>
    <row r="1147" ht="12.75" customHeight="1" x14ac:dyDescent="0.35"/>
    <row r="1148" ht="12.75" customHeight="1" x14ac:dyDescent="0.35"/>
    <row r="1149" ht="12.75" customHeight="1" x14ac:dyDescent="0.35"/>
    <row r="1150" ht="12.75" customHeight="1" x14ac:dyDescent="0.35"/>
    <row r="1151" ht="12.75" customHeight="1" x14ac:dyDescent="0.35"/>
    <row r="1152" ht="12.75" customHeight="1" x14ac:dyDescent="0.35"/>
    <row r="1153" ht="12.75" customHeight="1" x14ac:dyDescent="0.35"/>
    <row r="1154" ht="12.75" customHeight="1" x14ac:dyDescent="0.35"/>
    <row r="1155" ht="12.75" customHeight="1" x14ac:dyDescent="0.35"/>
    <row r="1156" ht="12.75" customHeight="1" x14ac:dyDescent="0.35"/>
    <row r="1157" ht="12.75" customHeight="1" x14ac:dyDescent="0.35"/>
    <row r="1158" ht="12.75" customHeight="1" x14ac:dyDescent="0.35"/>
    <row r="1159" ht="12.75" customHeight="1" x14ac:dyDescent="0.35"/>
    <row r="1160" ht="12.75" customHeight="1" x14ac:dyDescent="0.35"/>
    <row r="1161" ht="12.75" customHeight="1" x14ac:dyDescent="0.35"/>
    <row r="1162" ht="12.75" customHeight="1" x14ac:dyDescent="0.35"/>
    <row r="1163" ht="12.75" customHeight="1" x14ac:dyDescent="0.35"/>
    <row r="1164" ht="12.75" customHeight="1" x14ac:dyDescent="0.35"/>
    <row r="1165" ht="12.75" customHeight="1" x14ac:dyDescent="0.35"/>
    <row r="1166" ht="12.75" customHeight="1" x14ac:dyDescent="0.35"/>
    <row r="1167" ht="12.75" customHeight="1" x14ac:dyDescent="0.35"/>
    <row r="1168" ht="12.75" customHeight="1" x14ac:dyDescent="0.35"/>
    <row r="1169" ht="12.75" customHeight="1" x14ac:dyDescent="0.35"/>
    <row r="1170" ht="12.75" customHeight="1" x14ac:dyDescent="0.35"/>
    <row r="1171" ht="12.75" customHeight="1" x14ac:dyDescent="0.35"/>
    <row r="1172" ht="12.75" customHeight="1" x14ac:dyDescent="0.35"/>
    <row r="1173" ht="12.75" customHeight="1" x14ac:dyDescent="0.35"/>
    <row r="1174" ht="12.75" customHeight="1" x14ac:dyDescent="0.35"/>
    <row r="1175" ht="12.75" customHeight="1" x14ac:dyDescent="0.35"/>
    <row r="1176" ht="12.75" customHeight="1" x14ac:dyDescent="0.35"/>
    <row r="1177" ht="12.75" customHeight="1" x14ac:dyDescent="0.35"/>
    <row r="1178" ht="12.75" customHeight="1" x14ac:dyDescent="0.35"/>
    <row r="1179" ht="12.75" customHeight="1" x14ac:dyDescent="0.35"/>
    <row r="1180" ht="12.75" customHeight="1" x14ac:dyDescent="0.35"/>
    <row r="1181" ht="12.75" customHeight="1" x14ac:dyDescent="0.35"/>
    <row r="1182" ht="12.75" customHeight="1" x14ac:dyDescent="0.35"/>
    <row r="1183" ht="12.75" customHeight="1" x14ac:dyDescent="0.35"/>
    <row r="1184" ht="12.75" customHeight="1" x14ac:dyDescent="0.35"/>
    <row r="1185" ht="12.75" customHeight="1" x14ac:dyDescent="0.35"/>
    <row r="1186" ht="12.75" customHeight="1" x14ac:dyDescent="0.35"/>
    <row r="1187" ht="12.75" customHeight="1" x14ac:dyDescent="0.35"/>
    <row r="1188" ht="12.75" customHeight="1" x14ac:dyDescent="0.35"/>
    <row r="1189" ht="12.75" customHeight="1" x14ac:dyDescent="0.35"/>
    <row r="1190" ht="12.75" customHeight="1" x14ac:dyDescent="0.35"/>
    <row r="1191" ht="12.75" customHeight="1" x14ac:dyDescent="0.35"/>
    <row r="1192" ht="12.75" customHeight="1" x14ac:dyDescent="0.35"/>
    <row r="1193" ht="12.75" customHeight="1" x14ac:dyDescent="0.35"/>
    <row r="1194" ht="12.75" customHeight="1" x14ac:dyDescent="0.35"/>
    <row r="1195" ht="12.75" customHeight="1" x14ac:dyDescent="0.35"/>
    <row r="1196" ht="12.75" customHeight="1" x14ac:dyDescent="0.35"/>
    <row r="1197" ht="12.75" customHeight="1" x14ac:dyDescent="0.35"/>
    <row r="1198" ht="12.75" customHeight="1" x14ac:dyDescent="0.35"/>
    <row r="1199" ht="12.75" customHeight="1" x14ac:dyDescent="0.35"/>
    <row r="1200" ht="12.75" customHeight="1" x14ac:dyDescent="0.35"/>
    <row r="1201" ht="12.75" customHeight="1" x14ac:dyDescent="0.35"/>
    <row r="1202" ht="12.75" customHeight="1" x14ac:dyDescent="0.35"/>
    <row r="1203" ht="12.75" customHeight="1" x14ac:dyDescent="0.35"/>
    <row r="1204" ht="12.75" customHeight="1" x14ac:dyDescent="0.35"/>
    <row r="1205" ht="12.75" customHeight="1" x14ac:dyDescent="0.35"/>
    <row r="1206" ht="12.75" customHeight="1" x14ac:dyDescent="0.35"/>
    <row r="1207" ht="12.75" customHeight="1" x14ac:dyDescent="0.35"/>
    <row r="1208" ht="12.75" customHeight="1" x14ac:dyDescent="0.35"/>
    <row r="1209" ht="12.75" customHeight="1" x14ac:dyDescent="0.35"/>
    <row r="1210" ht="12.75" customHeight="1" x14ac:dyDescent="0.35"/>
    <row r="1211" ht="12.75" customHeight="1" x14ac:dyDescent="0.35"/>
    <row r="1212" ht="12.75" customHeight="1" x14ac:dyDescent="0.35"/>
    <row r="1213" ht="12.75" customHeight="1" x14ac:dyDescent="0.35"/>
    <row r="1214" ht="12.75" customHeight="1" x14ac:dyDescent="0.35"/>
    <row r="1215" ht="12.75" customHeight="1" x14ac:dyDescent="0.35"/>
    <row r="1216" ht="12.75" customHeight="1" x14ac:dyDescent="0.35"/>
    <row r="1217" ht="12.75" customHeight="1" x14ac:dyDescent="0.35"/>
    <row r="1218" ht="12.75" customHeight="1" x14ac:dyDescent="0.35"/>
    <row r="1219" ht="12.75" customHeight="1" x14ac:dyDescent="0.35"/>
    <row r="1220" ht="12.75" customHeight="1" x14ac:dyDescent="0.35"/>
    <row r="1221" ht="12.75" customHeight="1" x14ac:dyDescent="0.35"/>
    <row r="1222" ht="12.75" customHeight="1" x14ac:dyDescent="0.35"/>
    <row r="1223" ht="12.75" customHeight="1" x14ac:dyDescent="0.35"/>
    <row r="1224" ht="12.75" customHeight="1" x14ac:dyDescent="0.35"/>
    <row r="1225" ht="12.75" customHeight="1" x14ac:dyDescent="0.35"/>
    <row r="1226" ht="12.75" customHeight="1" x14ac:dyDescent="0.35"/>
    <row r="1227" ht="12.75" customHeight="1" x14ac:dyDescent="0.35"/>
    <row r="1228" ht="12.75" customHeight="1" x14ac:dyDescent="0.35"/>
    <row r="1229" ht="12.75" customHeight="1" x14ac:dyDescent="0.35"/>
    <row r="1230" ht="12.75" customHeight="1" x14ac:dyDescent="0.35"/>
    <row r="1231" ht="12.75" customHeight="1" x14ac:dyDescent="0.35"/>
    <row r="1232" ht="12.75" customHeight="1" x14ac:dyDescent="0.35"/>
    <row r="1233" ht="12.75" customHeight="1" x14ac:dyDescent="0.35"/>
    <row r="1234" ht="12.75" customHeight="1" x14ac:dyDescent="0.35"/>
    <row r="1235" ht="12.75" customHeight="1" x14ac:dyDescent="0.35"/>
    <row r="1236" ht="12.75" customHeight="1" x14ac:dyDescent="0.35"/>
    <row r="1237" ht="12.75" customHeight="1" x14ac:dyDescent="0.35"/>
    <row r="1238" ht="12.75" customHeight="1" x14ac:dyDescent="0.35"/>
    <row r="1239" ht="12.75" customHeight="1" x14ac:dyDescent="0.35"/>
    <row r="1240" ht="12.75" customHeight="1" x14ac:dyDescent="0.35"/>
    <row r="1241" ht="12.75" customHeight="1" x14ac:dyDescent="0.35"/>
    <row r="1242" ht="12.75" customHeight="1" x14ac:dyDescent="0.35"/>
    <row r="1243" ht="12.75" customHeight="1" x14ac:dyDescent="0.35"/>
    <row r="1244" ht="12.75" customHeight="1" x14ac:dyDescent="0.35"/>
    <row r="1245" ht="12.75" customHeight="1" x14ac:dyDescent="0.35"/>
    <row r="1246" ht="12.75" customHeight="1" x14ac:dyDescent="0.35"/>
    <row r="1247" ht="12.75" customHeight="1" x14ac:dyDescent="0.35"/>
    <row r="1248" ht="12.75" customHeight="1" x14ac:dyDescent="0.35"/>
    <row r="1249" ht="12.75" customHeight="1" x14ac:dyDescent="0.35"/>
    <row r="1250" ht="12.75" customHeight="1" x14ac:dyDescent="0.35"/>
    <row r="1251" ht="12.75" customHeight="1" x14ac:dyDescent="0.35"/>
    <row r="1252" ht="12.75" customHeight="1" x14ac:dyDescent="0.35"/>
    <row r="1253" ht="12.75" customHeight="1" x14ac:dyDescent="0.35"/>
    <row r="1254" ht="12.75" customHeight="1" x14ac:dyDescent="0.35"/>
    <row r="1255" ht="12.75" customHeight="1" x14ac:dyDescent="0.35"/>
    <row r="1256" ht="12.75" customHeight="1" x14ac:dyDescent="0.35"/>
    <row r="1257" ht="12.75" customHeight="1" x14ac:dyDescent="0.35"/>
    <row r="1258" ht="12.75" customHeight="1" x14ac:dyDescent="0.35"/>
    <row r="1259" ht="12.75" customHeight="1" x14ac:dyDescent="0.35"/>
    <row r="1260" ht="12.75" customHeight="1" x14ac:dyDescent="0.35"/>
    <row r="1261" ht="12.75" customHeight="1" x14ac:dyDescent="0.35"/>
    <row r="1262" ht="12.75" customHeight="1" x14ac:dyDescent="0.35"/>
  </sheetData>
  <phoneticPr fontId="27" type="noConversion"/>
  <printOptions gridLines="1" gridLinesSet="0"/>
  <pageMargins left="0.78740157480314965" right="0.19685039370078741" top="0.59055118110236227" bottom="0.59055118110236227" header="0.51181102362204722" footer="0.31496062992125984"/>
  <pageSetup paperSize="9" scale="90" firstPageNumber="2" orientation="portrait" useFirstPageNumber="1" horizontalDpi="4294967292" r:id="rId1"/>
  <headerFooter alignWithMargins="0">
    <oddFooter>&amp;L&amp;D&amp;T
&amp;F&amp;CSeite: &amp;P&amp;RDeecke, Betriebsw. Büro Göttingen</oddFooter>
  </headerFooter>
  <rowBreaks count="4" manualBreakCount="4">
    <brk id="104" max="10" man="1"/>
    <brk id="176" max="10" man="1"/>
    <brk id="248" max="16383" man="1"/>
    <brk id="324" max="10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90"/>
  <sheetViews>
    <sheetView workbookViewId="0">
      <selection activeCell="J33" sqref="J33"/>
    </sheetView>
  </sheetViews>
  <sheetFormatPr baseColWidth="10" defaultColWidth="11.5" defaultRowHeight="12.3" x14ac:dyDescent="0.4"/>
  <cols>
    <col min="1" max="1" width="4.5" style="116" customWidth="1"/>
    <col min="2" max="2" width="19.5" style="116" customWidth="1"/>
    <col min="3" max="3" width="8" style="116" customWidth="1"/>
    <col min="4" max="10" width="9.5" style="116" customWidth="1"/>
    <col min="11" max="11" width="11.5" style="116" customWidth="1"/>
    <col min="12" max="12" width="13.5" style="116" customWidth="1"/>
    <col min="13" max="16384" width="11.5" style="116"/>
  </cols>
  <sheetData>
    <row r="1" spans="1:13" ht="15" x14ac:dyDescent="0.5">
      <c r="A1" s="208" t="s">
        <v>305</v>
      </c>
      <c r="B1"/>
      <c r="C1" s="208" t="s">
        <v>306</v>
      </c>
      <c r="D1" s="534"/>
      <c r="E1" s="534"/>
      <c r="F1" s="534"/>
      <c r="G1" s="534"/>
      <c r="H1" s="534"/>
      <c r="I1" s="534"/>
      <c r="J1" s="353">
        <f ca="1">NOW()</f>
        <v>45772.509750462959</v>
      </c>
      <c r="K1" s="534"/>
      <c r="L1" s="534"/>
      <c r="M1" s="534"/>
    </row>
    <row r="2" spans="1:13" ht="15" x14ac:dyDescent="0.5">
      <c r="A2" s="535"/>
      <c r="B2" s="310"/>
      <c r="C2" s="115"/>
      <c r="D2" s="536"/>
      <c r="E2" s="311" t="s">
        <v>307</v>
      </c>
      <c r="F2" s="536"/>
      <c r="G2" s="536"/>
      <c r="H2" s="536"/>
      <c r="I2" s="536"/>
      <c r="J2" s="133"/>
      <c r="K2" s="534"/>
      <c r="L2" s="534"/>
      <c r="M2" s="534"/>
    </row>
    <row r="3" spans="1:13" x14ac:dyDescent="0.4">
      <c r="A3" s="537" t="s">
        <v>15</v>
      </c>
      <c r="B3" s="537" t="s">
        <v>229</v>
      </c>
      <c r="C3" s="537"/>
      <c r="D3" s="537" t="s">
        <v>22</v>
      </c>
      <c r="E3" s="537" t="s">
        <v>38</v>
      </c>
      <c r="F3" s="537" t="s">
        <v>39</v>
      </c>
      <c r="G3" s="537" t="s">
        <v>23</v>
      </c>
      <c r="H3" s="538" t="s">
        <v>25</v>
      </c>
      <c r="I3" s="538" t="s">
        <v>308</v>
      </c>
      <c r="J3" s="539" t="s">
        <v>24</v>
      </c>
      <c r="K3" s="534"/>
      <c r="L3" s="534" t="s">
        <v>309</v>
      </c>
      <c r="M3" s="534"/>
    </row>
    <row r="4" spans="1:13" x14ac:dyDescent="0.4">
      <c r="A4" s="540">
        <v>1</v>
      </c>
      <c r="B4" s="541" t="s">
        <v>310</v>
      </c>
      <c r="C4" s="541" t="s">
        <v>311</v>
      </c>
      <c r="D4" s="542">
        <v>24</v>
      </c>
      <c r="E4" s="542">
        <v>7.5620379999999994</v>
      </c>
      <c r="F4" s="542">
        <v>5.2140000000000004</v>
      </c>
      <c r="G4" s="542">
        <v>1.8753019999999998</v>
      </c>
      <c r="H4" s="542">
        <v>0.85161999999999993</v>
      </c>
      <c r="I4" s="542">
        <v>0.14773000000000003</v>
      </c>
      <c r="J4" s="543">
        <v>1.3035000000000001</v>
      </c>
      <c r="K4" s="534"/>
      <c r="L4" s="544" t="s">
        <v>312</v>
      </c>
      <c r="M4" s="545">
        <v>2.29</v>
      </c>
    </row>
    <row r="5" spans="1:13" x14ac:dyDescent="0.4">
      <c r="A5" s="546">
        <v>2</v>
      </c>
      <c r="B5" s="547" t="s">
        <v>313</v>
      </c>
      <c r="C5" s="547" t="s">
        <v>314</v>
      </c>
      <c r="D5" s="548"/>
      <c r="E5" s="548">
        <v>1.634144</v>
      </c>
      <c r="F5" s="548">
        <v>10.704000000000001</v>
      </c>
      <c r="G5" s="548">
        <v>1.48072</v>
      </c>
      <c r="H5" s="548">
        <v>3.8712799999999996</v>
      </c>
      <c r="I5" s="548">
        <v>1.17744</v>
      </c>
      <c r="J5" s="549">
        <v>1.2487999999999999</v>
      </c>
      <c r="K5" s="534"/>
      <c r="L5" s="550" t="s">
        <v>315</v>
      </c>
      <c r="M5" s="551">
        <v>1.2</v>
      </c>
    </row>
    <row r="6" spans="1:13" x14ac:dyDescent="0.4">
      <c r="A6" s="546">
        <v>3</v>
      </c>
      <c r="B6" s="552" t="s">
        <v>316</v>
      </c>
      <c r="C6" s="547" t="s">
        <v>311</v>
      </c>
      <c r="D6" s="548">
        <v>28</v>
      </c>
      <c r="E6" s="548">
        <v>7.5620379999999994</v>
      </c>
      <c r="F6" s="548">
        <v>5.2140000000000004</v>
      </c>
      <c r="G6" s="548">
        <v>1.8753019999999998</v>
      </c>
      <c r="H6" s="548">
        <v>0.85161999999999993</v>
      </c>
      <c r="I6" s="548">
        <v>0.14773000000000003</v>
      </c>
      <c r="J6" s="549">
        <v>1.3035000000000001</v>
      </c>
      <c r="K6" s="534"/>
      <c r="L6" s="550" t="s">
        <v>317</v>
      </c>
      <c r="M6" s="551">
        <v>1.4</v>
      </c>
    </row>
    <row r="7" spans="1:13" x14ac:dyDescent="0.4">
      <c r="A7" s="546">
        <v>4</v>
      </c>
      <c r="B7" s="547" t="s">
        <v>313</v>
      </c>
      <c r="C7" s="547" t="s">
        <v>314</v>
      </c>
      <c r="D7" s="548"/>
      <c r="E7" s="548">
        <v>1.634144</v>
      </c>
      <c r="F7" s="548">
        <v>10.704000000000001</v>
      </c>
      <c r="G7" s="548">
        <v>1.48072</v>
      </c>
      <c r="H7" s="548">
        <v>3.8712799999999996</v>
      </c>
      <c r="I7" s="548">
        <v>1.17744</v>
      </c>
      <c r="J7" s="549">
        <v>1.2487999999999999</v>
      </c>
      <c r="K7" s="534"/>
      <c r="L7" s="550" t="s">
        <v>318</v>
      </c>
      <c r="M7" s="551">
        <v>1.66</v>
      </c>
    </row>
    <row r="8" spans="1:13" x14ac:dyDescent="0.4">
      <c r="A8" s="546">
        <v>5</v>
      </c>
      <c r="B8" s="547" t="s">
        <v>319</v>
      </c>
      <c r="C8" s="547" t="s">
        <v>311</v>
      </c>
      <c r="D8" s="548">
        <v>24</v>
      </c>
      <c r="E8" s="548">
        <v>8.1027069999999988</v>
      </c>
      <c r="F8" s="548">
        <v>4.1423999999999994</v>
      </c>
      <c r="G8" s="548">
        <v>1.7190959999999997</v>
      </c>
      <c r="H8" s="548">
        <v>0.84573999999999994</v>
      </c>
      <c r="I8" s="548">
        <v>0.74217999999999995</v>
      </c>
      <c r="J8" s="549">
        <v>1.3808000000000002</v>
      </c>
      <c r="K8" s="534"/>
      <c r="L8" s="550" t="s">
        <v>308</v>
      </c>
      <c r="M8" s="551">
        <v>1</v>
      </c>
    </row>
    <row r="9" spans="1:13" x14ac:dyDescent="0.4">
      <c r="A9" s="546">
        <v>6</v>
      </c>
      <c r="B9" s="547" t="s">
        <v>320</v>
      </c>
      <c r="C9" s="547" t="s">
        <v>314</v>
      </c>
      <c r="D9" s="548"/>
      <c r="E9" s="548">
        <v>1.626816</v>
      </c>
      <c r="F9" s="548">
        <v>14.918400000000002</v>
      </c>
      <c r="G9" s="548">
        <v>1.3266720000000001</v>
      </c>
      <c r="H9" s="548">
        <v>3.6052799999999996</v>
      </c>
      <c r="I9" s="548">
        <v>0</v>
      </c>
      <c r="J9" s="549">
        <v>1.2431999999999999</v>
      </c>
      <c r="K9" s="534"/>
      <c r="L9" s="553" t="s">
        <v>24</v>
      </c>
      <c r="M9" s="554">
        <v>1</v>
      </c>
    </row>
    <row r="10" spans="1:13" x14ac:dyDescent="0.4">
      <c r="A10" s="546">
        <v>7</v>
      </c>
      <c r="B10" s="547" t="s">
        <v>321</v>
      </c>
      <c r="C10" s="547" t="s">
        <v>311</v>
      </c>
      <c r="D10" s="548">
        <v>25</v>
      </c>
      <c r="E10" s="548">
        <v>6.5065769999999992</v>
      </c>
      <c r="F10" s="548">
        <v>6.1991999999999994</v>
      </c>
      <c r="G10" s="548">
        <v>2.0009639999999997</v>
      </c>
      <c r="H10" s="548">
        <v>1.0848599999999999</v>
      </c>
      <c r="I10" s="548">
        <v>0.22386</v>
      </c>
      <c r="J10" s="549">
        <v>1.2915000000000001</v>
      </c>
      <c r="K10" s="534"/>
      <c r="L10" s="534"/>
      <c r="M10" s="534"/>
    </row>
    <row r="11" spans="1:13" x14ac:dyDescent="0.4">
      <c r="A11" s="546">
        <v>8</v>
      </c>
      <c r="B11" s="547" t="s">
        <v>322</v>
      </c>
      <c r="C11" s="547" t="s">
        <v>314</v>
      </c>
      <c r="D11" s="548"/>
      <c r="E11" s="548">
        <v>2.0472600000000001</v>
      </c>
      <c r="F11" s="548">
        <v>10.728</v>
      </c>
      <c r="G11" s="548">
        <v>1.48404</v>
      </c>
      <c r="H11" s="548">
        <v>3.6296399999999998</v>
      </c>
      <c r="I11" s="548">
        <v>1.30524</v>
      </c>
      <c r="J11" s="549">
        <v>1.0728</v>
      </c>
      <c r="K11" s="534"/>
      <c r="L11" s="534"/>
      <c r="M11" s="534"/>
    </row>
    <row r="12" spans="1:13" x14ac:dyDescent="0.4">
      <c r="A12" s="546">
        <v>9</v>
      </c>
      <c r="B12" s="547" t="s">
        <v>323</v>
      </c>
      <c r="C12" s="547" t="s">
        <v>311</v>
      </c>
      <c r="D12" s="548"/>
      <c r="E12" s="548">
        <v>7.5620379999999994</v>
      </c>
      <c r="F12" s="548">
        <v>5.2140000000000004</v>
      </c>
      <c r="G12" s="548">
        <v>1.8753019999999998</v>
      </c>
      <c r="H12" s="548">
        <v>0.85161999999999993</v>
      </c>
      <c r="I12" s="548">
        <v>0.14773000000000003</v>
      </c>
      <c r="J12" s="549">
        <v>1.3035000000000001</v>
      </c>
      <c r="K12" s="11" t="s">
        <v>324</v>
      </c>
      <c r="L12" s="534"/>
      <c r="M12" s="534"/>
    </row>
    <row r="13" spans="1:13" x14ac:dyDescent="0.4">
      <c r="A13" s="546">
        <v>10</v>
      </c>
      <c r="B13" s="547" t="s">
        <v>325</v>
      </c>
      <c r="C13" s="547" t="s">
        <v>314</v>
      </c>
      <c r="D13" s="548"/>
      <c r="E13" s="548">
        <v>1.634144</v>
      </c>
      <c r="F13" s="548">
        <v>10.704000000000001</v>
      </c>
      <c r="G13" s="548">
        <v>1.48072</v>
      </c>
      <c r="H13" s="548">
        <v>3.8712799999999996</v>
      </c>
      <c r="I13" s="548">
        <v>1.17744</v>
      </c>
      <c r="J13" s="549">
        <v>1.2487999999999999</v>
      </c>
      <c r="K13" s="11" t="s">
        <v>326</v>
      </c>
      <c r="L13" s="534"/>
      <c r="M13" s="534"/>
    </row>
    <row r="14" spans="1:13" x14ac:dyDescent="0.4">
      <c r="A14" s="546">
        <f>A13+1</f>
        <v>11</v>
      </c>
      <c r="B14" s="547" t="s">
        <v>327</v>
      </c>
      <c r="C14" s="547" t="s">
        <v>311</v>
      </c>
      <c r="D14" s="548"/>
      <c r="E14" s="548">
        <v>7.7878319999999999</v>
      </c>
      <c r="F14" s="548">
        <v>5.2320000000000002</v>
      </c>
      <c r="G14" s="548">
        <v>1.8817759999999999</v>
      </c>
      <c r="H14" s="548">
        <v>0.97663999999999984</v>
      </c>
      <c r="I14" s="548">
        <v>0.27904000000000001</v>
      </c>
      <c r="J14" s="549">
        <v>1.4823999999999999</v>
      </c>
      <c r="K14" s="127" t="s">
        <v>328</v>
      </c>
      <c r="L14" s="534"/>
      <c r="M14" s="534"/>
    </row>
    <row r="15" spans="1:13" x14ac:dyDescent="0.4">
      <c r="A15" s="546">
        <f t="shared" ref="A15:A30" si="0">A14+1</f>
        <v>12</v>
      </c>
      <c r="B15" s="547" t="s">
        <v>329</v>
      </c>
      <c r="C15" s="547" t="s">
        <v>314</v>
      </c>
      <c r="D15" s="548"/>
      <c r="E15" s="548">
        <v>1.5700240000000001</v>
      </c>
      <c r="F15" s="548">
        <v>17.482800000000001</v>
      </c>
      <c r="G15" s="548">
        <v>1.2803579999999999</v>
      </c>
      <c r="H15" s="548">
        <v>5.7590399999999997</v>
      </c>
      <c r="I15" s="548">
        <v>3.1794699999999998</v>
      </c>
      <c r="J15" s="549">
        <v>1.714</v>
      </c>
      <c r="K15" s="11" t="s">
        <v>330</v>
      </c>
      <c r="L15" s="534"/>
      <c r="M15" s="534"/>
    </row>
    <row r="16" spans="1:13" x14ac:dyDescent="0.4">
      <c r="A16" s="546">
        <f t="shared" si="0"/>
        <v>13</v>
      </c>
      <c r="B16" s="552" t="s">
        <v>331</v>
      </c>
      <c r="C16" s="547" t="s">
        <v>311</v>
      </c>
      <c r="D16" s="548"/>
      <c r="E16" s="548"/>
      <c r="F16" s="548"/>
      <c r="G16" s="548"/>
      <c r="H16" s="548"/>
      <c r="I16" s="548"/>
      <c r="J16" s="549"/>
      <c r="K16" s="11" t="s">
        <v>332</v>
      </c>
      <c r="L16" s="534"/>
      <c r="M16" s="534"/>
    </row>
    <row r="17" spans="1:11" x14ac:dyDescent="0.4">
      <c r="A17" s="546">
        <f t="shared" si="0"/>
        <v>14</v>
      </c>
      <c r="B17" s="552" t="s">
        <v>331</v>
      </c>
      <c r="C17" s="547" t="s">
        <v>314</v>
      </c>
      <c r="D17" s="548"/>
      <c r="E17" s="548"/>
      <c r="F17" s="548"/>
      <c r="G17" s="548"/>
      <c r="H17" s="548"/>
      <c r="I17" s="548"/>
      <c r="J17" s="549"/>
      <c r="K17" s="11" t="s">
        <v>333</v>
      </c>
    </row>
    <row r="18" spans="1:11" x14ac:dyDescent="0.4">
      <c r="A18" s="546">
        <f t="shared" si="0"/>
        <v>15</v>
      </c>
      <c r="B18" s="547" t="s">
        <v>334</v>
      </c>
      <c r="C18" s="547" t="s">
        <v>311</v>
      </c>
      <c r="D18" s="548"/>
      <c r="E18" s="548">
        <v>7.1012900000000005</v>
      </c>
      <c r="F18" s="548">
        <v>5.3159999999999998</v>
      </c>
      <c r="G18" s="548">
        <v>2.0590639999999998</v>
      </c>
      <c r="H18" s="548">
        <v>1.48848</v>
      </c>
      <c r="I18" s="548">
        <v>0.33667999999999998</v>
      </c>
      <c r="J18" s="549">
        <v>2.0377999999999998</v>
      </c>
      <c r="K18" s="127" t="s">
        <v>335</v>
      </c>
    </row>
    <row r="19" spans="1:11" x14ac:dyDescent="0.4">
      <c r="A19" s="546">
        <f t="shared" si="0"/>
        <v>16</v>
      </c>
      <c r="B19" s="547" t="s">
        <v>336</v>
      </c>
      <c r="C19" s="547" t="s">
        <v>314</v>
      </c>
      <c r="D19" s="548"/>
      <c r="E19" s="548">
        <v>2.8565459999999998</v>
      </c>
      <c r="F19" s="548">
        <v>22.453200000000002</v>
      </c>
      <c r="G19" s="548">
        <v>1.6269660000000001</v>
      </c>
      <c r="H19" s="548">
        <v>5.1143399999999994</v>
      </c>
      <c r="I19" s="548">
        <v>2.00475</v>
      </c>
      <c r="J19" s="549">
        <v>2.1384000000000003</v>
      </c>
      <c r="K19" s="47" t="s">
        <v>337</v>
      </c>
    </row>
    <row r="20" spans="1:11" x14ac:dyDescent="0.4">
      <c r="A20" s="546">
        <f t="shared" si="0"/>
        <v>17</v>
      </c>
      <c r="B20" s="547" t="s">
        <v>338</v>
      </c>
      <c r="C20" s="547" t="s">
        <v>311</v>
      </c>
      <c r="D20" s="548"/>
      <c r="E20" s="548">
        <v>6.1830000000000007</v>
      </c>
      <c r="F20" s="548">
        <v>7.2</v>
      </c>
      <c r="G20" s="548">
        <v>2.3239999999999998</v>
      </c>
      <c r="H20" s="548">
        <v>1.1200000000000001</v>
      </c>
      <c r="I20" s="548">
        <v>2.4</v>
      </c>
      <c r="J20" s="549">
        <v>1.7</v>
      </c>
      <c r="K20" s="127"/>
    </row>
    <row r="21" spans="1:11" x14ac:dyDescent="0.4">
      <c r="A21" s="546">
        <f t="shared" si="0"/>
        <v>18</v>
      </c>
      <c r="B21" s="547" t="s">
        <v>339</v>
      </c>
      <c r="C21" s="547" t="s">
        <v>311</v>
      </c>
      <c r="D21" s="548">
        <v>0</v>
      </c>
      <c r="E21" s="548">
        <v>9.7608959999999989</v>
      </c>
      <c r="F21" s="548">
        <v>13.852799999999998</v>
      </c>
      <c r="G21" s="548">
        <v>2.6533440000000001</v>
      </c>
      <c r="H21" s="548">
        <v>1.98912</v>
      </c>
      <c r="I21" s="548">
        <v>0.15984000000000001</v>
      </c>
      <c r="J21" s="549">
        <v>3.996</v>
      </c>
      <c r="K21" s="47"/>
    </row>
    <row r="22" spans="1:11" x14ac:dyDescent="0.4">
      <c r="A22" s="546">
        <f t="shared" si="0"/>
        <v>19</v>
      </c>
      <c r="B22" s="547" t="s">
        <v>340</v>
      </c>
      <c r="C22" s="547" t="s">
        <v>311</v>
      </c>
      <c r="D22" s="548">
        <v>0</v>
      </c>
      <c r="E22" s="548">
        <v>6.2585699999999997</v>
      </c>
      <c r="F22" s="548">
        <v>22.9572</v>
      </c>
      <c r="G22" s="548">
        <v>4.2343279999999996</v>
      </c>
      <c r="H22" s="548">
        <v>1.4029400000000001</v>
      </c>
      <c r="I22" s="548">
        <v>0.94744000000000006</v>
      </c>
      <c r="J22" s="549">
        <v>1.3665</v>
      </c>
      <c r="K22" s="134"/>
    </row>
    <row r="23" spans="1:11" x14ac:dyDescent="0.4">
      <c r="A23" s="546">
        <f t="shared" si="0"/>
        <v>20</v>
      </c>
      <c r="B23" s="547" t="s">
        <v>341</v>
      </c>
      <c r="C23" s="547" t="s">
        <v>342</v>
      </c>
      <c r="D23" s="548">
        <v>66</v>
      </c>
      <c r="E23" s="548">
        <v>19.992844999999999</v>
      </c>
      <c r="F23" s="548">
        <v>6.8153039999999994</v>
      </c>
      <c r="G23" s="548">
        <v>5.1868359999999996</v>
      </c>
      <c r="H23" s="548">
        <v>6.1756799999999989</v>
      </c>
      <c r="I23" s="548">
        <v>0</v>
      </c>
      <c r="J23" s="549">
        <v>13.049799999999999</v>
      </c>
      <c r="K23" s="534"/>
    </row>
    <row r="24" spans="1:11" x14ac:dyDescent="0.4">
      <c r="A24" s="546">
        <f t="shared" si="0"/>
        <v>21</v>
      </c>
      <c r="B24" s="547" t="s">
        <v>343</v>
      </c>
      <c r="C24" s="547" t="s">
        <v>342</v>
      </c>
      <c r="D24" s="548"/>
      <c r="E24" s="548">
        <v>7.9275219999999997</v>
      </c>
      <c r="F24" s="548">
        <v>6.7559759999999995</v>
      </c>
      <c r="G24" s="548">
        <v>5.1416839999999997</v>
      </c>
      <c r="H24" s="548">
        <v>3.5711199999999996</v>
      </c>
      <c r="I24" s="548">
        <v>0</v>
      </c>
      <c r="J24" s="549">
        <v>0</v>
      </c>
      <c r="K24" s="534"/>
    </row>
    <row r="25" spans="1:11" x14ac:dyDescent="0.4">
      <c r="A25" s="546">
        <f t="shared" si="0"/>
        <v>22</v>
      </c>
      <c r="B25" s="547" t="s">
        <v>344</v>
      </c>
      <c r="C25" s="547" t="s">
        <v>342</v>
      </c>
      <c r="D25" s="548"/>
      <c r="E25" s="548">
        <v>10.894446000000002</v>
      </c>
      <c r="F25" s="548">
        <v>8.4576000000000011</v>
      </c>
      <c r="G25" s="548">
        <v>8.1897760000000002</v>
      </c>
      <c r="H25" s="548">
        <v>3.4535199999999997</v>
      </c>
      <c r="I25" s="548">
        <v>0.81933</v>
      </c>
      <c r="J25" s="549">
        <v>2.5548999999999999</v>
      </c>
      <c r="K25" s="534"/>
    </row>
    <row r="26" spans="1:11" x14ac:dyDescent="0.4">
      <c r="A26" s="546">
        <f t="shared" si="0"/>
        <v>23</v>
      </c>
      <c r="B26" s="547" t="s">
        <v>345</v>
      </c>
      <c r="C26" s="547" t="s">
        <v>314</v>
      </c>
      <c r="D26" s="548"/>
      <c r="E26" s="548">
        <v>1.384992</v>
      </c>
      <c r="F26" s="548">
        <v>8.2943999999999996</v>
      </c>
      <c r="G26" s="548">
        <v>2.2947839999999999</v>
      </c>
      <c r="H26" s="548">
        <v>6.2899199999999995</v>
      </c>
      <c r="I26" s="548">
        <v>0</v>
      </c>
      <c r="J26" s="549">
        <v>0</v>
      </c>
      <c r="K26" s="534"/>
    </row>
    <row r="27" spans="1:11" x14ac:dyDescent="0.4">
      <c r="A27" s="546">
        <f t="shared" si="0"/>
        <v>24</v>
      </c>
      <c r="B27" s="547" t="s">
        <v>346</v>
      </c>
      <c r="C27" s="547" t="s">
        <v>342</v>
      </c>
      <c r="D27" s="548"/>
      <c r="E27" s="548">
        <v>19.830712999999999</v>
      </c>
      <c r="F27" s="548">
        <v>0</v>
      </c>
      <c r="G27" s="548">
        <v>0</v>
      </c>
      <c r="H27" s="548">
        <v>2.3157399999999999</v>
      </c>
      <c r="I27" s="548">
        <v>0</v>
      </c>
      <c r="J27" s="549">
        <v>0</v>
      </c>
      <c r="K27" s="534"/>
    </row>
    <row r="28" spans="1:11" x14ac:dyDescent="0.4">
      <c r="A28" s="546">
        <f t="shared" si="0"/>
        <v>25</v>
      </c>
      <c r="B28" s="547" t="s">
        <v>347</v>
      </c>
      <c r="C28" s="547" t="s">
        <v>348</v>
      </c>
      <c r="D28" s="548">
        <v>3.5</v>
      </c>
      <c r="E28" s="548">
        <v>1.2823999999999998</v>
      </c>
      <c r="F28" s="548">
        <v>5.9135999999999997</v>
      </c>
      <c r="G28" s="548">
        <v>0.52057600000000004</v>
      </c>
      <c r="H28" s="548">
        <v>0.12544</v>
      </c>
      <c r="I28" s="548">
        <v>0.12320000000000002</v>
      </c>
      <c r="J28" s="549">
        <v>0.38080000000000003</v>
      </c>
      <c r="K28" s="534"/>
    </row>
    <row r="29" spans="1:11" x14ac:dyDescent="0.4">
      <c r="A29" s="546">
        <f t="shared" si="0"/>
        <v>26</v>
      </c>
      <c r="B29" s="547" t="s">
        <v>349</v>
      </c>
      <c r="C29" s="547" t="s">
        <v>350</v>
      </c>
      <c r="D29" s="548">
        <v>1.8</v>
      </c>
      <c r="E29" s="548">
        <v>0.85875000000000001</v>
      </c>
      <c r="F29" s="548">
        <v>2.4</v>
      </c>
      <c r="G29" s="548">
        <v>0.66400000000000003</v>
      </c>
      <c r="H29" s="548">
        <v>0.80500000000000005</v>
      </c>
      <c r="I29" s="548">
        <v>0.23749999999999999</v>
      </c>
      <c r="J29" s="549">
        <v>0.15</v>
      </c>
      <c r="K29" s="534"/>
    </row>
    <row r="30" spans="1:11" x14ac:dyDescent="0.4">
      <c r="A30" s="546">
        <f t="shared" si="0"/>
        <v>27</v>
      </c>
      <c r="B30" s="547" t="s">
        <v>351</v>
      </c>
      <c r="C30" s="547" t="s">
        <v>352</v>
      </c>
      <c r="D30" s="548"/>
      <c r="E30" s="548">
        <v>5.7249999999999996</v>
      </c>
      <c r="F30" s="548">
        <v>42</v>
      </c>
      <c r="G30" s="548">
        <v>7.9679999999999991</v>
      </c>
      <c r="H30" s="548">
        <v>17.36</v>
      </c>
      <c r="I30" s="548">
        <v>9.4499999999999993</v>
      </c>
      <c r="J30" s="549">
        <v>5.2</v>
      </c>
      <c r="K30" s="534"/>
    </row>
    <row r="31" spans="1:11" x14ac:dyDescent="0.4">
      <c r="A31" s="546">
        <f t="shared" ref="A31:A46" si="1">A30+1</f>
        <v>28</v>
      </c>
      <c r="B31" s="552" t="s">
        <v>353</v>
      </c>
      <c r="C31" s="547" t="s">
        <v>350</v>
      </c>
      <c r="D31" s="548"/>
      <c r="E31" s="548">
        <v>0.7364639999999999</v>
      </c>
      <c r="F31" s="548">
        <v>4.8239999999999998</v>
      </c>
      <c r="G31" s="548">
        <v>0.40039199999999997</v>
      </c>
      <c r="H31" s="548">
        <v>0.50651999999999997</v>
      </c>
      <c r="I31" s="548">
        <v>0.54671999999999998</v>
      </c>
      <c r="J31" s="549">
        <v>0.18759999999999999</v>
      </c>
      <c r="K31" s="534"/>
    </row>
    <row r="32" spans="1:11" x14ac:dyDescent="0.4">
      <c r="A32" s="546">
        <f t="shared" si="1"/>
        <v>29</v>
      </c>
      <c r="B32" s="552" t="s">
        <v>353</v>
      </c>
      <c r="C32" s="547" t="s">
        <v>352</v>
      </c>
      <c r="D32" s="548"/>
      <c r="E32" s="548"/>
      <c r="F32" s="548"/>
      <c r="G32" s="548"/>
      <c r="H32" s="548"/>
      <c r="I32" s="548"/>
      <c r="J32" s="549"/>
      <c r="K32" s="534"/>
    </row>
    <row r="33" spans="1:10" x14ac:dyDescent="0.4">
      <c r="A33" s="546">
        <f t="shared" si="1"/>
        <v>30</v>
      </c>
      <c r="B33" s="552" t="s">
        <v>354</v>
      </c>
      <c r="C33" s="547" t="s">
        <v>350</v>
      </c>
      <c r="D33" s="548"/>
      <c r="E33" s="548"/>
      <c r="F33" s="548"/>
      <c r="G33" s="548"/>
      <c r="H33" s="548"/>
      <c r="I33" s="548"/>
      <c r="J33" s="549"/>
    </row>
    <row r="34" spans="1:10" x14ac:dyDescent="0.4">
      <c r="A34" s="546">
        <f t="shared" si="1"/>
        <v>31</v>
      </c>
      <c r="B34" s="552" t="s">
        <v>354</v>
      </c>
      <c r="C34" s="547" t="s">
        <v>352</v>
      </c>
      <c r="D34" s="548"/>
      <c r="E34" s="548"/>
      <c r="F34" s="548"/>
      <c r="G34" s="548"/>
      <c r="H34" s="548"/>
      <c r="I34" s="548"/>
      <c r="J34" s="549"/>
    </row>
    <row r="35" spans="1:10" x14ac:dyDescent="0.4">
      <c r="A35" s="546">
        <f t="shared" si="1"/>
        <v>32</v>
      </c>
      <c r="B35" s="552" t="s">
        <v>355</v>
      </c>
      <c r="C35" s="547" t="s">
        <v>356</v>
      </c>
      <c r="D35" s="548"/>
      <c r="E35" s="548">
        <v>7.3280000000000003</v>
      </c>
      <c r="F35" s="548">
        <v>18.48</v>
      </c>
      <c r="G35" s="548">
        <v>2.3239999999999998</v>
      </c>
      <c r="H35" s="548">
        <v>3.36</v>
      </c>
      <c r="I35" s="548">
        <v>0.5</v>
      </c>
      <c r="J35" s="549">
        <v>1.6</v>
      </c>
    </row>
    <row r="36" spans="1:10" x14ac:dyDescent="0.4">
      <c r="A36" s="546">
        <f t="shared" si="1"/>
        <v>33</v>
      </c>
      <c r="B36" s="547" t="s">
        <v>357</v>
      </c>
      <c r="C36" s="547"/>
      <c r="D36" s="548"/>
      <c r="E36" s="548"/>
      <c r="F36" s="548"/>
      <c r="G36" s="548"/>
      <c r="H36" s="548"/>
      <c r="I36" s="548"/>
      <c r="J36" s="549"/>
    </row>
    <row r="37" spans="1:10" x14ac:dyDescent="0.4">
      <c r="A37" s="546">
        <f t="shared" si="1"/>
        <v>34</v>
      </c>
      <c r="B37" s="552" t="s">
        <v>358</v>
      </c>
      <c r="C37" s="547" t="s">
        <v>359</v>
      </c>
      <c r="D37" s="548"/>
      <c r="E37" s="548">
        <v>6.4119999999999999</v>
      </c>
      <c r="F37" s="548">
        <v>31.2</v>
      </c>
      <c r="G37" s="548">
        <v>4.4820000000000002</v>
      </c>
      <c r="H37" s="548">
        <v>29.26</v>
      </c>
      <c r="I37" s="548">
        <v>1</v>
      </c>
      <c r="J37" s="549">
        <v>4.5</v>
      </c>
    </row>
    <row r="38" spans="1:10" x14ac:dyDescent="0.4">
      <c r="A38" s="546">
        <f t="shared" si="1"/>
        <v>35</v>
      </c>
      <c r="B38" s="547" t="s">
        <v>360</v>
      </c>
      <c r="C38" s="547"/>
      <c r="D38" s="548"/>
      <c r="E38" s="548"/>
      <c r="F38" s="548"/>
      <c r="G38" s="548"/>
      <c r="H38" s="548"/>
      <c r="I38" s="548"/>
      <c r="J38" s="549"/>
    </row>
    <row r="39" spans="1:10" x14ac:dyDescent="0.4">
      <c r="A39" s="546">
        <f t="shared" si="1"/>
        <v>36</v>
      </c>
      <c r="B39" s="552" t="s">
        <v>361</v>
      </c>
      <c r="C39" s="547" t="s">
        <v>362</v>
      </c>
      <c r="D39" s="548"/>
      <c r="E39" s="548">
        <v>13.968999999999999</v>
      </c>
      <c r="F39" s="548">
        <v>40.799999999999997</v>
      </c>
      <c r="G39" s="548">
        <v>3.9839999999999995</v>
      </c>
      <c r="H39" s="548">
        <v>18.2</v>
      </c>
      <c r="I39" s="548">
        <v>1.57</v>
      </c>
      <c r="J39" s="549">
        <v>1</v>
      </c>
    </row>
    <row r="40" spans="1:10" x14ac:dyDescent="0.4">
      <c r="A40" s="546">
        <f t="shared" si="1"/>
        <v>37</v>
      </c>
      <c r="B40" s="547" t="s">
        <v>363</v>
      </c>
      <c r="C40" s="547"/>
      <c r="D40" s="548"/>
      <c r="E40" s="548"/>
      <c r="F40" s="548"/>
      <c r="G40" s="548"/>
      <c r="H40" s="548"/>
      <c r="I40" s="548"/>
      <c r="J40" s="549"/>
    </row>
    <row r="41" spans="1:10" x14ac:dyDescent="0.4">
      <c r="A41" s="546">
        <f t="shared" si="1"/>
        <v>38</v>
      </c>
      <c r="B41" s="547" t="s">
        <v>364</v>
      </c>
      <c r="C41" s="547"/>
      <c r="D41" s="548"/>
      <c r="E41" s="548"/>
      <c r="F41" s="548"/>
      <c r="G41" s="548"/>
      <c r="H41" s="548"/>
      <c r="I41" s="548"/>
      <c r="J41" s="549"/>
    </row>
    <row r="42" spans="1:10" x14ac:dyDescent="0.4">
      <c r="A42" s="546">
        <f t="shared" si="1"/>
        <v>39</v>
      </c>
      <c r="B42" s="552" t="s">
        <v>365</v>
      </c>
      <c r="C42" s="547"/>
      <c r="D42" s="548"/>
      <c r="E42" s="548"/>
      <c r="F42" s="548"/>
      <c r="G42" s="548"/>
      <c r="H42" s="548"/>
      <c r="I42" s="548"/>
      <c r="J42" s="549"/>
    </row>
    <row r="43" spans="1:10" x14ac:dyDescent="0.4">
      <c r="A43" s="546">
        <f t="shared" si="1"/>
        <v>40</v>
      </c>
      <c r="B43" s="552" t="s">
        <v>366</v>
      </c>
      <c r="C43" s="547"/>
      <c r="D43" s="548"/>
      <c r="E43" s="548"/>
      <c r="F43" s="548"/>
      <c r="G43" s="548"/>
      <c r="H43" s="548"/>
      <c r="I43" s="548"/>
      <c r="J43" s="549"/>
    </row>
    <row r="44" spans="1:10" x14ac:dyDescent="0.4">
      <c r="A44" s="546">
        <f t="shared" si="1"/>
        <v>41</v>
      </c>
      <c r="B44" s="547" t="s">
        <v>367</v>
      </c>
      <c r="C44" s="547"/>
      <c r="D44" s="548"/>
      <c r="E44" s="548"/>
      <c r="F44" s="548"/>
      <c r="G44" s="548"/>
      <c r="H44" s="548"/>
      <c r="I44" s="548"/>
      <c r="J44" s="549"/>
    </row>
    <row r="45" spans="1:10" x14ac:dyDescent="0.4">
      <c r="A45" s="546">
        <f t="shared" si="1"/>
        <v>42</v>
      </c>
      <c r="B45" s="547" t="s">
        <v>368</v>
      </c>
      <c r="C45" s="547"/>
      <c r="D45" s="548"/>
      <c r="E45" s="548"/>
      <c r="F45" s="548"/>
      <c r="G45" s="548"/>
      <c r="H45" s="548"/>
      <c r="I45" s="548"/>
      <c r="J45" s="549"/>
    </row>
    <row r="46" spans="1:10" x14ac:dyDescent="0.4">
      <c r="A46" s="546">
        <f t="shared" si="1"/>
        <v>43</v>
      </c>
      <c r="B46" s="547" t="s">
        <v>369</v>
      </c>
      <c r="C46" s="547"/>
      <c r="D46" s="548"/>
      <c r="E46" s="548"/>
      <c r="F46" s="548"/>
      <c r="G46" s="548"/>
      <c r="H46" s="548"/>
      <c r="I46" s="548"/>
      <c r="J46" s="549"/>
    </row>
    <row r="47" spans="1:10" x14ac:dyDescent="0.4">
      <c r="A47" s="546">
        <f t="shared" ref="A47:A62" si="2">A46+1</f>
        <v>44</v>
      </c>
      <c r="B47" s="547" t="s">
        <v>370</v>
      </c>
      <c r="C47" s="547"/>
      <c r="D47" s="548"/>
      <c r="E47" s="548"/>
      <c r="F47" s="548"/>
      <c r="G47" s="548"/>
      <c r="H47" s="548"/>
      <c r="I47" s="548"/>
      <c r="J47" s="549"/>
    </row>
    <row r="48" spans="1:10" x14ac:dyDescent="0.4">
      <c r="A48" s="546">
        <f t="shared" si="2"/>
        <v>45</v>
      </c>
      <c r="B48" s="547" t="s">
        <v>371</v>
      </c>
      <c r="C48" s="547"/>
      <c r="D48" s="548"/>
      <c r="E48" s="548"/>
      <c r="F48" s="548"/>
      <c r="G48" s="548"/>
      <c r="H48" s="548"/>
      <c r="I48" s="548"/>
      <c r="J48" s="549"/>
    </row>
    <row r="49" spans="1:10" x14ac:dyDescent="0.4">
      <c r="A49" s="546">
        <f t="shared" si="2"/>
        <v>46</v>
      </c>
      <c r="B49" s="547" t="s">
        <v>372</v>
      </c>
      <c r="C49" s="547"/>
      <c r="D49" s="548"/>
      <c r="E49" s="548"/>
      <c r="F49" s="548"/>
      <c r="G49" s="548"/>
      <c r="H49" s="548"/>
      <c r="I49" s="548"/>
      <c r="J49" s="549"/>
    </row>
    <row r="50" spans="1:10" x14ac:dyDescent="0.4">
      <c r="A50" s="546">
        <f t="shared" si="2"/>
        <v>47</v>
      </c>
      <c r="B50" s="547" t="s">
        <v>373</v>
      </c>
      <c r="C50" s="547"/>
      <c r="D50" s="548"/>
      <c r="E50" s="548"/>
      <c r="F50" s="548"/>
      <c r="G50" s="548"/>
      <c r="H50" s="548"/>
      <c r="I50" s="548"/>
      <c r="J50" s="549"/>
    </row>
    <row r="51" spans="1:10" x14ac:dyDescent="0.4">
      <c r="A51" s="546">
        <f t="shared" si="2"/>
        <v>48</v>
      </c>
      <c r="B51" s="547" t="s">
        <v>374</v>
      </c>
      <c r="C51" s="547"/>
      <c r="D51" s="548"/>
      <c r="E51" s="548"/>
      <c r="F51" s="548"/>
      <c r="G51" s="548"/>
      <c r="H51" s="548"/>
      <c r="I51" s="548"/>
      <c r="J51" s="549"/>
    </row>
    <row r="52" spans="1:10" x14ac:dyDescent="0.4">
      <c r="A52" s="546">
        <f t="shared" si="2"/>
        <v>49</v>
      </c>
      <c r="B52" s="547" t="s">
        <v>375</v>
      </c>
      <c r="C52" s="547"/>
      <c r="D52" s="548"/>
      <c r="E52" s="548"/>
      <c r="F52" s="548"/>
      <c r="G52" s="548"/>
      <c r="H52" s="548"/>
      <c r="I52" s="548"/>
      <c r="J52" s="549"/>
    </row>
    <row r="53" spans="1:10" x14ac:dyDescent="0.4">
      <c r="A53" s="546">
        <f t="shared" si="2"/>
        <v>50</v>
      </c>
      <c r="B53" s="547" t="s">
        <v>376</v>
      </c>
      <c r="C53" s="547"/>
      <c r="D53" s="548"/>
      <c r="E53" s="548"/>
      <c r="F53" s="548"/>
      <c r="G53" s="548"/>
      <c r="H53" s="548"/>
      <c r="I53" s="548"/>
      <c r="J53" s="549"/>
    </row>
    <row r="54" spans="1:10" x14ac:dyDescent="0.4">
      <c r="A54" s="546">
        <f t="shared" si="2"/>
        <v>51</v>
      </c>
      <c r="B54" s="547" t="s">
        <v>377</v>
      </c>
      <c r="C54" s="547"/>
      <c r="D54" s="548"/>
      <c r="E54" s="548"/>
      <c r="F54" s="548"/>
      <c r="G54" s="548"/>
      <c r="H54" s="548"/>
      <c r="I54" s="548"/>
      <c r="J54" s="549"/>
    </row>
    <row r="55" spans="1:10" x14ac:dyDescent="0.4">
      <c r="A55" s="546">
        <f t="shared" si="2"/>
        <v>52</v>
      </c>
      <c r="B55" s="547" t="s">
        <v>378</v>
      </c>
      <c r="C55" s="547"/>
      <c r="D55" s="548"/>
      <c r="E55" s="548"/>
      <c r="F55" s="548"/>
      <c r="G55" s="548"/>
      <c r="H55" s="548"/>
      <c r="I55" s="548"/>
      <c r="J55" s="549"/>
    </row>
    <row r="56" spans="1:10" x14ac:dyDescent="0.4">
      <c r="A56" s="555">
        <f t="shared" si="2"/>
        <v>53</v>
      </c>
      <c r="B56" s="556" t="s">
        <v>379</v>
      </c>
      <c r="C56" s="556"/>
      <c r="D56" s="557"/>
      <c r="E56" s="557"/>
      <c r="F56" s="557"/>
      <c r="G56" s="557"/>
      <c r="H56" s="557"/>
      <c r="I56" s="557"/>
      <c r="J56" s="558"/>
    </row>
    <row r="57" spans="1:10" x14ac:dyDescent="0.4">
      <c r="A57" s="546">
        <f t="shared" si="2"/>
        <v>54</v>
      </c>
      <c r="B57" s="552" t="s">
        <v>380</v>
      </c>
      <c r="C57" s="547"/>
      <c r="D57" s="548"/>
      <c r="E57" s="548"/>
      <c r="F57" s="548"/>
      <c r="G57" s="548"/>
      <c r="H57" s="548"/>
      <c r="I57" s="548"/>
      <c r="J57" s="549"/>
    </row>
    <row r="58" spans="1:10" x14ac:dyDescent="0.4">
      <c r="A58" s="546">
        <f t="shared" si="2"/>
        <v>55</v>
      </c>
      <c r="B58" s="552" t="s">
        <v>381</v>
      </c>
      <c r="C58" s="547"/>
      <c r="D58" s="548"/>
      <c r="E58" s="548"/>
      <c r="F58" s="548"/>
      <c r="G58" s="548"/>
      <c r="H58" s="548"/>
      <c r="I58" s="548"/>
      <c r="J58" s="549"/>
    </row>
    <row r="59" spans="1:10" x14ac:dyDescent="0.4">
      <c r="A59" s="546">
        <f t="shared" si="2"/>
        <v>56</v>
      </c>
      <c r="B59" s="552" t="s">
        <v>382</v>
      </c>
      <c r="C59" s="547"/>
      <c r="D59" s="548"/>
      <c r="E59" s="548"/>
      <c r="F59" s="548"/>
      <c r="G59" s="548"/>
      <c r="H59" s="548"/>
      <c r="I59" s="548"/>
      <c r="J59" s="549"/>
    </row>
    <row r="60" spans="1:10" x14ac:dyDescent="0.4">
      <c r="A60" s="546">
        <f t="shared" si="2"/>
        <v>57</v>
      </c>
      <c r="B60" s="552" t="s">
        <v>383</v>
      </c>
      <c r="C60" s="547"/>
      <c r="D60" s="548"/>
      <c r="E60" s="548"/>
      <c r="F60" s="548"/>
      <c r="G60" s="548"/>
      <c r="H60" s="548"/>
      <c r="I60" s="548"/>
      <c r="J60" s="549"/>
    </row>
    <row r="61" spans="1:10" x14ac:dyDescent="0.4">
      <c r="A61" s="546">
        <f t="shared" si="2"/>
        <v>58</v>
      </c>
      <c r="B61" s="552" t="s">
        <v>384</v>
      </c>
      <c r="C61" s="547"/>
      <c r="D61" s="548"/>
      <c r="E61" s="548"/>
      <c r="F61" s="548"/>
      <c r="G61" s="548"/>
      <c r="H61" s="548"/>
      <c r="I61" s="548"/>
      <c r="J61" s="549"/>
    </row>
    <row r="62" spans="1:10" x14ac:dyDescent="0.4">
      <c r="A62" s="546">
        <f t="shared" si="2"/>
        <v>59</v>
      </c>
      <c r="B62" s="547" t="s">
        <v>385</v>
      </c>
      <c r="C62" s="547"/>
      <c r="D62" s="548"/>
      <c r="E62" s="548"/>
      <c r="F62" s="548"/>
      <c r="G62" s="548"/>
      <c r="H62" s="548"/>
      <c r="I62" s="548"/>
      <c r="J62" s="549"/>
    </row>
    <row r="63" spans="1:10" x14ac:dyDescent="0.4">
      <c r="A63" s="546">
        <f t="shared" ref="A63:A78" si="3">A62+1</f>
        <v>60</v>
      </c>
      <c r="B63" s="552" t="s">
        <v>386</v>
      </c>
      <c r="C63" s="547"/>
      <c r="D63" s="548"/>
      <c r="E63" s="548"/>
      <c r="F63" s="548"/>
      <c r="G63" s="548"/>
      <c r="H63" s="548"/>
      <c r="I63" s="548"/>
      <c r="J63" s="549"/>
    </row>
    <row r="64" spans="1:10" x14ac:dyDescent="0.4">
      <c r="A64" s="546">
        <f t="shared" si="3"/>
        <v>61</v>
      </c>
      <c r="B64" s="547" t="s">
        <v>387</v>
      </c>
      <c r="C64" s="547"/>
      <c r="D64" s="548"/>
      <c r="E64" s="548"/>
      <c r="F64" s="548"/>
      <c r="G64" s="548"/>
      <c r="H64" s="548"/>
      <c r="I64" s="548"/>
      <c r="J64" s="549"/>
    </row>
    <row r="65" spans="1:10" x14ac:dyDescent="0.4">
      <c r="A65" s="546">
        <f t="shared" si="3"/>
        <v>62</v>
      </c>
      <c r="B65" s="552" t="s">
        <v>388</v>
      </c>
      <c r="C65" s="547"/>
      <c r="D65" s="548"/>
      <c r="E65" s="548"/>
      <c r="F65" s="548"/>
      <c r="G65" s="548"/>
      <c r="H65" s="548"/>
      <c r="I65" s="548"/>
      <c r="J65" s="549"/>
    </row>
    <row r="66" spans="1:10" x14ac:dyDescent="0.4">
      <c r="A66" s="546">
        <f t="shared" si="3"/>
        <v>63</v>
      </c>
      <c r="B66" s="552" t="s">
        <v>389</v>
      </c>
      <c r="C66" s="547"/>
      <c r="D66" s="548"/>
      <c r="E66" s="548"/>
      <c r="F66" s="548"/>
      <c r="G66" s="548"/>
      <c r="H66" s="548"/>
      <c r="I66" s="548"/>
      <c r="J66" s="549"/>
    </row>
    <row r="67" spans="1:10" x14ac:dyDescent="0.4">
      <c r="A67" s="546">
        <f t="shared" si="3"/>
        <v>64</v>
      </c>
      <c r="B67" s="547" t="s">
        <v>390</v>
      </c>
      <c r="C67" s="547"/>
      <c r="D67" s="548"/>
      <c r="E67" s="548"/>
      <c r="F67" s="548"/>
      <c r="G67" s="548"/>
      <c r="H67" s="548"/>
      <c r="I67" s="548"/>
      <c r="J67" s="549"/>
    </row>
    <row r="68" spans="1:10" x14ac:dyDescent="0.4">
      <c r="A68" s="546">
        <f t="shared" si="3"/>
        <v>65</v>
      </c>
      <c r="B68" s="547" t="s">
        <v>391</v>
      </c>
      <c r="C68" s="547"/>
      <c r="D68" s="548"/>
      <c r="E68" s="548"/>
      <c r="F68" s="548"/>
      <c r="G68" s="548"/>
      <c r="H68" s="548"/>
      <c r="I68" s="548"/>
      <c r="J68" s="549"/>
    </row>
    <row r="69" spans="1:10" x14ac:dyDescent="0.4">
      <c r="A69" s="546">
        <f t="shared" si="3"/>
        <v>66</v>
      </c>
      <c r="B69" s="547" t="s">
        <v>392</v>
      </c>
      <c r="C69" s="547">
        <v>0</v>
      </c>
      <c r="D69" s="548">
        <v>0</v>
      </c>
      <c r="E69" s="548">
        <v>0</v>
      </c>
      <c r="F69" s="548">
        <v>0</v>
      </c>
      <c r="G69" s="548">
        <v>0</v>
      </c>
      <c r="H69" s="548">
        <v>0</v>
      </c>
      <c r="I69" s="548">
        <v>0</v>
      </c>
      <c r="J69" s="549"/>
    </row>
    <row r="70" spans="1:10" x14ac:dyDescent="0.4">
      <c r="A70" s="546">
        <f t="shared" si="3"/>
        <v>67</v>
      </c>
      <c r="B70" s="547" t="s">
        <v>393</v>
      </c>
      <c r="C70" s="547" t="s">
        <v>311</v>
      </c>
      <c r="D70" s="548">
        <v>28</v>
      </c>
      <c r="E70" s="548">
        <v>7.9149269999999996</v>
      </c>
      <c r="F70" s="548">
        <v>5.0579999999999998</v>
      </c>
      <c r="G70" s="548">
        <v>1.6792559999999999</v>
      </c>
      <c r="H70" s="548">
        <v>0.82613999999999987</v>
      </c>
      <c r="I70" s="548">
        <v>0.14330999999999999</v>
      </c>
      <c r="J70" s="549">
        <v>1.2645</v>
      </c>
    </row>
    <row r="71" spans="1:10" x14ac:dyDescent="0.4">
      <c r="A71" s="546">
        <f t="shared" si="3"/>
        <v>68</v>
      </c>
      <c r="B71" s="547" t="s">
        <v>394</v>
      </c>
      <c r="C71" s="547" t="s">
        <v>314</v>
      </c>
      <c r="D71" s="548"/>
      <c r="E71" s="548">
        <v>1.641472</v>
      </c>
      <c r="F71" s="548">
        <v>11.827199999999999</v>
      </c>
      <c r="G71" s="548">
        <v>1.338624</v>
      </c>
      <c r="H71" s="548">
        <v>3.8886399999999997</v>
      </c>
      <c r="I71" s="548">
        <v>1.58592</v>
      </c>
      <c r="J71" s="549">
        <v>1.254</v>
      </c>
    </row>
    <row r="72" spans="1:10" x14ac:dyDescent="0.4">
      <c r="A72" s="546">
        <f t="shared" si="3"/>
        <v>69</v>
      </c>
      <c r="B72" s="547" t="s">
        <v>395</v>
      </c>
      <c r="C72" s="547" t="s">
        <v>396</v>
      </c>
      <c r="D72" s="548"/>
      <c r="E72" s="548">
        <v>0.71997599999999984</v>
      </c>
      <c r="F72" s="548">
        <v>5.6592000000000002</v>
      </c>
      <c r="G72" s="548">
        <v>1.6961879999999998</v>
      </c>
      <c r="H72" s="548">
        <v>4.7683999999999997</v>
      </c>
      <c r="I72" s="548">
        <v>0.25675999999999999</v>
      </c>
      <c r="J72" s="549">
        <v>0.53700000000000003</v>
      </c>
    </row>
    <row r="73" spans="1:10" x14ac:dyDescent="0.4">
      <c r="A73" s="546">
        <f t="shared" si="3"/>
        <v>70</v>
      </c>
      <c r="B73" s="547" t="s">
        <v>397</v>
      </c>
      <c r="C73" s="547" t="s">
        <v>314</v>
      </c>
      <c r="D73" s="548"/>
      <c r="E73" s="548">
        <v>3.4350000000000001</v>
      </c>
      <c r="F73" s="548">
        <v>13.2</v>
      </c>
      <c r="G73" s="548">
        <v>3.8179999999999996</v>
      </c>
      <c r="H73" s="548">
        <v>7.56</v>
      </c>
      <c r="I73" s="548">
        <v>1.87</v>
      </c>
      <c r="J73" s="549">
        <v>2.2999999999999998</v>
      </c>
    </row>
    <row r="74" spans="1:10" x14ac:dyDescent="0.4">
      <c r="A74" s="546">
        <f t="shared" si="3"/>
        <v>71</v>
      </c>
      <c r="B74" s="547" t="s">
        <v>398</v>
      </c>
      <c r="C74" s="547" t="s">
        <v>314</v>
      </c>
      <c r="D74" s="548"/>
      <c r="E74" s="548">
        <v>2.6962459999999999</v>
      </c>
      <c r="F74" s="548">
        <v>17.156399999999998</v>
      </c>
      <c r="G74" s="548">
        <v>2.9317259999999998</v>
      </c>
      <c r="H74" s="548">
        <v>15.07072</v>
      </c>
      <c r="I74" s="548">
        <v>0</v>
      </c>
      <c r="J74" s="549">
        <v>0</v>
      </c>
    </row>
    <row r="75" spans="1:10" x14ac:dyDescent="0.4">
      <c r="A75" s="546">
        <f t="shared" si="3"/>
        <v>72</v>
      </c>
      <c r="B75" s="547" t="s">
        <v>399</v>
      </c>
      <c r="C75" s="547" t="s">
        <v>314</v>
      </c>
      <c r="D75" s="548"/>
      <c r="E75" s="548">
        <v>3.2426400000000002</v>
      </c>
      <c r="F75" s="548">
        <v>13.805999999999999</v>
      </c>
      <c r="G75" s="548">
        <v>3.6727499999999997</v>
      </c>
      <c r="H75" s="548">
        <v>19.5762</v>
      </c>
      <c r="I75" s="548">
        <v>1.3274999999999999</v>
      </c>
      <c r="J75" s="549">
        <v>0</v>
      </c>
    </row>
    <row r="76" spans="1:10" x14ac:dyDescent="0.4">
      <c r="A76" s="546">
        <f t="shared" si="3"/>
        <v>73</v>
      </c>
      <c r="B76" s="547" t="s">
        <v>400</v>
      </c>
      <c r="C76" s="547" t="s">
        <v>342</v>
      </c>
      <c r="D76" s="548"/>
      <c r="E76" s="548">
        <v>9.796619999999999</v>
      </c>
      <c r="F76" s="548">
        <v>8.9280000000000008</v>
      </c>
      <c r="G76" s="548">
        <v>2.6244599999999996</v>
      </c>
      <c r="H76" s="548">
        <v>4.8173999999999992</v>
      </c>
      <c r="I76" s="548">
        <v>0</v>
      </c>
      <c r="J76" s="549">
        <v>0</v>
      </c>
    </row>
    <row r="77" spans="1:10" x14ac:dyDescent="0.4">
      <c r="A77" s="546">
        <f t="shared" si="3"/>
        <v>74</v>
      </c>
      <c r="B77" s="547" t="s">
        <v>401</v>
      </c>
      <c r="C77" s="547" t="s">
        <v>342</v>
      </c>
      <c r="D77" s="548"/>
      <c r="E77" s="548">
        <v>10.441025999999997</v>
      </c>
      <c r="F77" s="548">
        <v>9.6551999999999989</v>
      </c>
      <c r="G77" s="548">
        <v>3.5616959999999995</v>
      </c>
      <c r="H77" s="548">
        <v>3.3793199999999999</v>
      </c>
      <c r="I77" s="548">
        <v>0</v>
      </c>
      <c r="J77" s="549">
        <v>0</v>
      </c>
    </row>
    <row r="78" spans="1:10" x14ac:dyDescent="0.4">
      <c r="A78" s="546">
        <f t="shared" si="3"/>
        <v>75</v>
      </c>
      <c r="B78" s="547" t="s">
        <v>401</v>
      </c>
      <c r="C78" s="547" t="s">
        <v>314</v>
      </c>
      <c r="D78" s="548"/>
      <c r="E78" s="548">
        <v>3.206</v>
      </c>
      <c r="F78" s="548">
        <v>13.65</v>
      </c>
      <c r="G78" s="548">
        <v>3.6312500000000001</v>
      </c>
      <c r="H78" s="548">
        <v>19.355</v>
      </c>
      <c r="I78" s="548">
        <v>1.3125</v>
      </c>
      <c r="J78" s="549">
        <v>0</v>
      </c>
    </row>
    <row r="79" spans="1:10" x14ac:dyDescent="0.4">
      <c r="A79" s="546">
        <f t="shared" ref="A79:A90" si="4">A78+1</f>
        <v>76</v>
      </c>
      <c r="B79" s="547" t="s">
        <v>402</v>
      </c>
      <c r="C79" s="547" t="s">
        <v>342</v>
      </c>
      <c r="D79" s="548"/>
      <c r="E79" s="548">
        <v>14.876985000000001</v>
      </c>
      <c r="F79" s="548">
        <v>23.058</v>
      </c>
      <c r="G79" s="548">
        <v>4.2529200000000005</v>
      </c>
      <c r="H79" s="548">
        <v>3.7148999999999996</v>
      </c>
      <c r="I79" s="548">
        <v>0</v>
      </c>
      <c r="J79" s="549">
        <v>0</v>
      </c>
    </row>
    <row r="80" spans="1:10" x14ac:dyDescent="0.4">
      <c r="A80" s="546">
        <f t="shared" si="4"/>
        <v>77</v>
      </c>
      <c r="B80" s="547" t="s">
        <v>403</v>
      </c>
      <c r="C80" s="547" t="s">
        <v>359</v>
      </c>
      <c r="D80" s="548"/>
      <c r="E80" s="548">
        <v>8.702</v>
      </c>
      <c r="F80" s="548">
        <v>43.2</v>
      </c>
      <c r="G80" s="548">
        <v>4.1500000000000004</v>
      </c>
      <c r="H80" s="548">
        <v>22.4</v>
      </c>
      <c r="I80" s="548">
        <v>5.49</v>
      </c>
      <c r="J80" s="549">
        <v>6.9</v>
      </c>
    </row>
    <row r="81" spans="1:10" x14ac:dyDescent="0.4">
      <c r="A81" s="546">
        <f t="shared" si="4"/>
        <v>78</v>
      </c>
      <c r="B81" s="547" t="s">
        <v>404</v>
      </c>
      <c r="C81" s="547" t="s">
        <v>405</v>
      </c>
      <c r="D81" s="548"/>
      <c r="E81" s="548">
        <v>6.4119999999999999</v>
      </c>
      <c r="F81" s="548">
        <v>28.8</v>
      </c>
      <c r="G81" s="548">
        <v>2.6560000000000001</v>
      </c>
      <c r="H81" s="548">
        <v>8.26</v>
      </c>
      <c r="I81" s="548">
        <v>0.64</v>
      </c>
      <c r="J81" s="549">
        <v>1.8</v>
      </c>
    </row>
    <row r="82" spans="1:10" x14ac:dyDescent="0.4">
      <c r="A82" s="546">
        <f t="shared" si="4"/>
        <v>79</v>
      </c>
      <c r="B82" s="547" t="s">
        <v>406</v>
      </c>
      <c r="C82" s="547" t="s">
        <v>405</v>
      </c>
      <c r="D82" s="548"/>
      <c r="E82" s="548">
        <v>4.351</v>
      </c>
      <c r="F82" s="548">
        <v>16.8</v>
      </c>
      <c r="G82" s="548">
        <v>2.8219999999999996</v>
      </c>
      <c r="H82" s="548">
        <v>11.48</v>
      </c>
      <c r="I82" s="548">
        <v>0.3</v>
      </c>
      <c r="J82" s="549">
        <v>1.8</v>
      </c>
    </row>
    <row r="83" spans="1:10" x14ac:dyDescent="0.4">
      <c r="A83" s="546">
        <f t="shared" si="4"/>
        <v>80</v>
      </c>
      <c r="B83" s="547" t="s">
        <v>407</v>
      </c>
      <c r="C83" s="547" t="s">
        <v>405</v>
      </c>
      <c r="D83" s="548"/>
      <c r="E83" s="548">
        <v>7.0990000000000002</v>
      </c>
      <c r="F83" s="548">
        <v>27.6</v>
      </c>
      <c r="G83" s="548">
        <v>2.988</v>
      </c>
      <c r="H83" s="548">
        <v>7.98</v>
      </c>
      <c r="I83" s="548">
        <v>0.46</v>
      </c>
      <c r="J83" s="549">
        <v>1.8</v>
      </c>
    </row>
    <row r="84" spans="1:10" x14ac:dyDescent="0.4">
      <c r="A84" s="546">
        <f t="shared" si="4"/>
        <v>81</v>
      </c>
      <c r="B84" s="547" t="s">
        <v>408</v>
      </c>
      <c r="C84" s="547" t="s">
        <v>359</v>
      </c>
      <c r="D84" s="548"/>
      <c r="E84" s="548">
        <v>8.9309999999999992</v>
      </c>
      <c r="F84" s="548">
        <v>36</v>
      </c>
      <c r="G84" s="548">
        <v>3.1539999999999999</v>
      </c>
      <c r="H84" s="548">
        <v>9.24</v>
      </c>
      <c r="I84" s="548">
        <v>1.24</v>
      </c>
      <c r="J84" s="549">
        <v>2.7</v>
      </c>
    </row>
    <row r="85" spans="1:10" x14ac:dyDescent="0.4">
      <c r="A85" s="546">
        <f t="shared" si="4"/>
        <v>82</v>
      </c>
      <c r="B85" s="547" t="s">
        <v>409</v>
      </c>
      <c r="C85" s="547" t="s">
        <v>359</v>
      </c>
      <c r="D85" s="548"/>
      <c r="E85" s="548">
        <v>8.702</v>
      </c>
      <c r="F85" s="548">
        <v>37.200000000000003</v>
      </c>
      <c r="G85" s="548">
        <v>2.988</v>
      </c>
      <c r="H85" s="548">
        <v>7.98</v>
      </c>
      <c r="I85" s="548">
        <v>0.72</v>
      </c>
      <c r="J85" s="549">
        <v>4.2</v>
      </c>
    </row>
    <row r="86" spans="1:10" x14ac:dyDescent="0.4">
      <c r="A86" s="546">
        <f t="shared" si="4"/>
        <v>83</v>
      </c>
      <c r="B86" s="547" t="s">
        <v>410</v>
      </c>
      <c r="C86" s="547" t="s">
        <v>359</v>
      </c>
      <c r="D86" s="548"/>
      <c r="E86" s="548">
        <v>9.6180000000000003</v>
      </c>
      <c r="F86" s="548">
        <v>38.4</v>
      </c>
      <c r="G86" s="548">
        <v>3.32</v>
      </c>
      <c r="H86" s="548">
        <v>10.78</v>
      </c>
      <c r="I86" s="548">
        <v>1.08</v>
      </c>
      <c r="J86" s="549">
        <v>3.9</v>
      </c>
    </row>
    <row r="87" spans="1:10" x14ac:dyDescent="0.4">
      <c r="A87" s="546">
        <f t="shared" si="4"/>
        <v>84</v>
      </c>
      <c r="B87" s="547" t="s">
        <v>411</v>
      </c>
      <c r="C87" s="547" t="s">
        <v>359</v>
      </c>
      <c r="D87" s="548"/>
      <c r="E87" s="548">
        <v>4.58</v>
      </c>
      <c r="F87" s="548">
        <v>21.6</v>
      </c>
      <c r="G87" s="548">
        <v>3.4859999999999998</v>
      </c>
      <c r="H87" s="548">
        <v>15.54</v>
      </c>
      <c r="I87" s="548">
        <v>0.05</v>
      </c>
      <c r="J87" s="549">
        <v>2.9</v>
      </c>
    </row>
    <row r="88" spans="1:10" x14ac:dyDescent="0.4">
      <c r="A88" s="546">
        <f t="shared" si="4"/>
        <v>85</v>
      </c>
      <c r="B88" s="547" t="s">
        <v>412</v>
      </c>
      <c r="C88" s="547" t="s">
        <v>359</v>
      </c>
      <c r="D88" s="548"/>
      <c r="E88" s="548">
        <v>8.4730000000000008</v>
      </c>
      <c r="F88" s="548">
        <v>37.200000000000003</v>
      </c>
      <c r="G88" s="548">
        <v>3.6520000000000001</v>
      </c>
      <c r="H88" s="548">
        <v>9.52</v>
      </c>
      <c r="I88" s="548">
        <v>0.57999999999999996</v>
      </c>
      <c r="J88" s="549">
        <v>2.2999999999999998</v>
      </c>
    </row>
    <row r="89" spans="1:10" x14ac:dyDescent="0.4">
      <c r="A89" s="546">
        <f t="shared" si="4"/>
        <v>86</v>
      </c>
      <c r="B89" s="547" t="s">
        <v>413</v>
      </c>
      <c r="C89" s="547" t="s">
        <v>359</v>
      </c>
      <c r="D89" s="548"/>
      <c r="E89" s="548">
        <v>8.9309999999999992</v>
      </c>
      <c r="F89" s="548">
        <v>33.6</v>
      </c>
      <c r="G89" s="548">
        <v>4.4820000000000002</v>
      </c>
      <c r="H89" s="548">
        <v>12.74</v>
      </c>
      <c r="I89" s="548">
        <v>1.04</v>
      </c>
      <c r="J89" s="549">
        <v>2.7</v>
      </c>
    </row>
    <row r="90" spans="1:10" x14ac:dyDescent="0.4">
      <c r="A90" s="555">
        <f t="shared" si="4"/>
        <v>87</v>
      </c>
      <c r="B90" s="556" t="s">
        <v>414</v>
      </c>
      <c r="C90" s="556" t="s">
        <v>359</v>
      </c>
      <c r="D90" s="557"/>
      <c r="E90" s="557">
        <v>9.3889999999999993</v>
      </c>
      <c r="F90" s="557">
        <v>31.2</v>
      </c>
      <c r="G90" s="557">
        <v>4.8140000000000001</v>
      </c>
      <c r="H90" s="557">
        <v>12.74</v>
      </c>
      <c r="I90" s="557">
        <v>1.44</v>
      </c>
      <c r="J90" s="558">
        <v>3.1</v>
      </c>
    </row>
  </sheetData>
  <phoneticPr fontId="27" type="noConversion"/>
  <printOptions gridLines="1" gridLinesSet="0"/>
  <pageMargins left="0.78740157480314965" right="0.19685039370078741" top="0.59055118110236227" bottom="0.59055118110236227" header="0.51181102362204722" footer="0.31496062992125984"/>
  <pageSetup paperSize="9" scale="90" orientation="portrait" horizontalDpi="4294967292" r:id="rId1"/>
  <headerFooter alignWithMargins="0">
    <oddFooter>&amp;L&amp;D&amp;T
&amp;F&amp;CSeite: &amp;P&amp;RDeecke, Betriebsw. Büro Göttingen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40"/>
  <sheetViews>
    <sheetView workbookViewId="0">
      <selection activeCell="J33" sqref="J33"/>
    </sheetView>
  </sheetViews>
  <sheetFormatPr baseColWidth="10" defaultColWidth="11.5" defaultRowHeight="12.3" x14ac:dyDescent="0.4"/>
  <cols>
    <col min="1" max="1" width="4.83203125" customWidth="1"/>
    <col min="3" max="3" width="28.5" customWidth="1"/>
    <col min="4" max="4" width="8.5" customWidth="1"/>
    <col min="5" max="5" width="12.5" bestFit="1" customWidth="1"/>
  </cols>
  <sheetData>
    <row r="1" spans="1:8" ht="15" x14ac:dyDescent="0.5">
      <c r="A1" s="501" t="s">
        <v>415</v>
      </c>
      <c r="B1" s="227"/>
      <c r="C1" s="227"/>
      <c r="D1" s="227"/>
      <c r="E1" s="559">
        <f ca="1">NOW()</f>
        <v>45772.509750462959</v>
      </c>
      <c r="H1" s="230"/>
    </row>
    <row r="2" spans="1:8" ht="15" customHeight="1" x14ac:dyDescent="0.6">
      <c r="A2" s="229"/>
      <c r="C2" s="2"/>
      <c r="D2" s="2"/>
      <c r="E2" s="2"/>
      <c r="F2" s="2"/>
      <c r="G2" s="2"/>
      <c r="H2" s="2"/>
    </row>
    <row r="3" spans="1:8" x14ac:dyDescent="0.4">
      <c r="A3" s="64" t="s">
        <v>15</v>
      </c>
      <c r="B3" s="119" t="s">
        <v>248</v>
      </c>
      <c r="C3" s="105"/>
      <c r="D3" s="120" t="s">
        <v>416</v>
      </c>
      <c r="E3" s="19" t="s">
        <v>417</v>
      </c>
      <c r="F3" s="390"/>
    </row>
    <row r="4" spans="1:8" x14ac:dyDescent="0.4">
      <c r="A4" s="118"/>
      <c r="B4" s="121"/>
      <c r="C4" s="122"/>
      <c r="D4" s="123" t="s">
        <v>249</v>
      </c>
      <c r="E4" s="110" t="s">
        <v>418</v>
      </c>
      <c r="F4" s="390"/>
    </row>
    <row r="5" spans="1:8" x14ac:dyDescent="0.4">
      <c r="A5" s="124"/>
      <c r="B5" s="48"/>
      <c r="C5" s="125"/>
      <c r="D5" s="50"/>
      <c r="E5" s="126" t="s">
        <v>419</v>
      </c>
      <c r="F5" s="390"/>
    </row>
    <row r="6" spans="1:8" x14ac:dyDescent="0.4">
      <c r="A6" s="415">
        <v>101</v>
      </c>
      <c r="B6" s="560" t="s">
        <v>420</v>
      </c>
      <c r="C6" s="420"/>
      <c r="D6" s="561" t="s">
        <v>421</v>
      </c>
      <c r="E6" s="562">
        <v>1.6</v>
      </c>
      <c r="F6" s="390"/>
    </row>
    <row r="7" spans="1:8" x14ac:dyDescent="0.4">
      <c r="A7" s="421">
        <v>102</v>
      </c>
      <c r="B7" s="563" t="s">
        <v>422</v>
      </c>
      <c r="C7" s="424"/>
      <c r="D7" s="564" t="s">
        <v>423</v>
      </c>
      <c r="E7" s="565">
        <v>6</v>
      </c>
      <c r="F7" s="390"/>
    </row>
    <row r="8" spans="1:8" x14ac:dyDescent="0.4">
      <c r="A8" s="421">
        <v>103</v>
      </c>
      <c r="B8" s="566" t="s">
        <v>424</v>
      </c>
      <c r="C8" s="424"/>
      <c r="D8" s="564" t="s">
        <v>232</v>
      </c>
      <c r="E8" s="565">
        <v>18.399999999999999</v>
      </c>
      <c r="F8" s="390"/>
    </row>
    <row r="9" spans="1:8" x14ac:dyDescent="0.4">
      <c r="A9" s="421">
        <v>104</v>
      </c>
      <c r="B9" s="563" t="s">
        <v>425</v>
      </c>
      <c r="C9" s="424"/>
      <c r="D9" s="564" t="s">
        <v>232</v>
      </c>
      <c r="E9" s="565">
        <v>16.3</v>
      </c>
      <c r="F9" s="390"/>
    </row>
    <row r="10" spans="1:8" x14ac:dyDescent="0.4">
      <c r="A10" s="421">
        <v>105</v>
      </c>
      <c r="B10" s="563" t="s">
        <v>426</v>
      </c>
      <c r="C10" s="424"/>
      <c r="D10" s="564" t="s">
        <v>421</v>
      </c>
      <c r="E10" s="565">
        <v>3</v>
      </c>
      <c r="F10" s="390"/>
    </row>
    <row r="11" spans="1:8" x14ac:dyDescent="0.4">
      <c r="A11" s="421">
        <v>106</v>
      </c>
      <c r="B11" s="563" t="s">
        <v>427</v>
      </c>
      <c r="C11" s="424"/>
      <c r="D11" s="564" t="s">
        <v>232</v>
      </c>
      <c r="E11" s="565">
        <v>18.7</v>
      </c>
      <c r="F11" s="390"/>
    </row>
    <row r="12" spans="1:8" x14ac:dyDescent="0.4">
      <c r="A12" s="421">
        <v>107</v>
      </c>
      <c r="B12" s="563" t="s">
        <v>428</v>
      </c>
      <c r="C12" s="424"/>
      <c r="D12" s="564" t="s">
        <v>232</v>
      </c>
      <c r="E12" s="565">
        <v>13.2</v>
      </c>
      <c r="F12" s="390"/>
    </row>
    <row r="13" spans="1:8" x14ac:dyDescent="0.4">
      <c r="A13" s="421">
        <v>108</v>
      </c>
      <c r="B13" s="563" t="s">
        <v>429</v>
      </c>
      <c r="C13" s="424"/>
      <c r="D13" s="564" t="s">
        <v>421</v>
      </c>
      <c r="E13" s="565">
        <v>1.5</v>
      </c>
      <c r="F13" s="390"/>
    </row>
    <row r="14" spans="1:8" x14ac:dyDescent="0.4">
      <c r="A14" s="421">
        <v>109</v>
      </c>
      <c r="B14" s="563" t="s">
        <v>430</v>
      </c>
      <c r="C14" s="424"/>
      <c r="D14" s="564" t="s">
        <v>421</v>
      </c>
      <c r="E14" s="565">
        <v>1</v>
      </c>
      <c r="F14" s="390"/>
    </row>
    <row r="15" spans="1:8" x14ac:dyDescent="0.4">
      <c r="A15" s="467">
        <v>110</v>
      </c>
      <c r="B15" s="467" t="s">
        <v>431</v>
      </c>
      <c r="C15" s="468"/>
      <c r="D15" s="567" t="s">
        <v>232</v>
      </c>
      <c r="E15" s="568"/>
      <c r="F15" s="390"/>
    </row>
    <row r="16" spans="1:8" x14ac:dyDescent="0.4">
      <c r="A16" s="390"/>
      <c r="B16" s="390"/>
      <c r="C16" s="390"/>
      <c r="D16" s="390"/>
      <c r="E16" s="390"/>
      <c r="F16" s="390"/>
    </row>
    <row r="17" spans="1:6" x14ac:dyDescent="0.4">
      <c r="A17" s="390"/>
      <c r="B17" s="390"/>
      <c r="C17" s="390"/>
      <c r="D17" s="390"/>
      <c r="E17" s="390"/>
      <c r="F17" s="390"/>
    </row>
    <row r="18" spans="1:6" x14ac:dyDescent="0.4">
      <c r="A18" s="64" t="s">
        <v>15</v>
      </c>
      <c r="B18" s="119" t="s">
        <v>432</v>
      </c>
      <c r="C18" s="105"/>
      <c r="D18" s="120" t="s">
        <v>416</v>
      </c>
      <c r="E18" s="19" t="s">
        <v>417</v>
      </c>
      <c r="F18" s="390"/>
    </row>
    <row r="19" spans="1:6" x14ac:dyDescent="0.4">
      <c r="A19" s="118"/>
      <c r="B19" s="121"/>
      <c r="C19" s="122"/>
      <c r="D19" s="123" t="s">
        <v>249</v>
      </c>
      <c r="E19" s="110" t="s">
        <v>418</v>
      </c>
      <c r="F19" s="390"/>
    </row>
    <row r="20" spans="1:6" x14ac:dyDescent="0.4">
      <c r="A20" s="124"/>
      <c r="B20" s="48"/>
      <c r="C20" s="125"/>
      <c r="D20" s="50"/>
      <c r="E20" s="126" t="s">
        <v>419</v>
      </c>
      <c r="F20" s="390"/>
    </row>
    <row r="21" spans="1:6" x14ac:dyDescent="0.4">
      <c r="A21" s="415">
        <v>121</v>
      </c>
      <c r="B21" s="569" t="s">
        <v>433</v>
      </c>
      <c r="C21" s="420"/>
      <c r="D21" s="564" t="s">
        <v>421</v>
      </c>
      <c r="E21" s="562">
        <v>1.2</v>
      </c>
      <c r="F21" s="390"/>
    </row>
    <row r="22" spans="1:6" x14ac:dyDescent="0.4">
      <c r="A22" s="421">
        <v>122</v>
      </c>
      <c r="B22" s="563" t="s">
        <v>434</v>
      </c>
      <c r="C22" s="424"/>
      <c r="D22" s="564" t="s">
        <v>423</v>
      </c>
      <c r="E22" s="565">
        <v>4</v>
      </c>
      <c r="F22" s="390"/>
    </row>
    <row r="23" spans="1:6" x14ac:dyDescent="0.4">
      <c r="A23" s="421">
        <v>123</v>
      </c>
      <c r="B23" s="563" t="s">
        <v>435</v>
      </c>
      <c r="C23" s="424"/>
      <c r="D23" s="564" t="s">
        <v>421</v>
      </c>
      <c r="E23" s="565">
        <v>1</v>
      </c>
      <c r="F23" s="390"/>
    </row>
    <row r="24" spans="1:6" x14ac:dyDescent="0.4">
      <c r="A24" s="421">
        <v>124</v>
      </c>
      <c r="B24" s="563" t="s">
        <v>436</v>
      </c>
      <c r="C24" s="424"/>
      <c r="D24" s="564" t="s">
        <v>421</v>
      </c>
      <c r="E24" s="565">
        <v>1.25</v>
      </c>
      <c r="F24" s="390"/>
    </row>
    <row r="25" spans="1:6" x14ac:dyDescent="0.4">
      <c r="A25" s="467">
        <v>125</v>
      </c>
      <c r="B25" s="570" t="s">
        <v>437</v>
      </c>
      <c r="C25" s="468"/>
      <c r="D25" s="567" t="s">
        <v>421</v>
      </c>
      <c r="E25" s="568">
        <v>1.6</v>
      </c>
      <c r="F25" s="390"/>
    </row>
    <row r="26" spans="1:6" x14ac:dyDescent="0.4">
      <c r="A26" s="390"/>
      <c r="B26" s="390"/>
      <c r="C26" s="390"/>
      <c r="D26" s="390"/>
      <c r="E26" s="390"/>
      <c r="F26" s="390"/>
    </row>
    <row r="27" spans="1:6" x14ac:dyDescent="0.4">
      <c r="A27" s="390"/>
      <c r="B27" s="390"/>
      <c r="C27" s="390"/>
      <c r="D27" s="390"/>
      <c r="E27" s="390"/>
      <c r="F27" s="390"/>
    </row>
    <row r="28" spans="1:6" x14ac:dyDescent="0.4">
      <c r="A28" s="64" t="s">
        <v>15</v>
      </c>
      <c r="B28" s="119" t="s">
        <v>438</v>
      </c>
      <c r="C28" s="105"/>
      <c r="D28" s="120" t="s">
        <v>416</v>
      </c>
      <c r="E28" s="19" t="s">
        <v>417</v>
      </c>
      <c r="F28" s="390"/>
    </row>
    <row r="29" spans="1:6" x14ac:dyDescent="0.4">
      <c r="A29" s="118"/>
      <c r="B29" s="121"/>
      <c r="C29" s="122"/>
      <c r="D29" s="123" t="s">
        <v>249</v>
      </c>
      <c r="E29" s="110" t="s">
        <v>418</v>
      </c>
      <c r="F29" s="390"/>
    </row>
    <row r="30" spans="1:6" x14ac:dyDescent="0.4">
      <c r="A30" s="124"/>
      <c r="B30" s="48"/>
      <c r="C30" s="125"/>
      <c r="D30" s="50"/>
      <c r="E30" s="126" t="s">
        <v>419</v>
      </c>
      <c r="F30" s="390"/>
    </row>
    <row r="31" spans="1:6" x14ac:dyDescent="0.4">
      <c r="A31" s="415">
        <v>141</v>
      </c>
      <c r="B31" s="560" t="s">
        <v>439</v>
      </c>
      <c r="C31" s="420"/>
      <c r="D31" s="564" t="s">
        <v>421</v>
      </c>
      <c r="E31" s="562">
        <v>0.9</v>
      </c>
      <c r="F31" s="390"/>
    </row>
    <row r="32" spans="1:6" x14ac:dyDescent="0.4">
      <c r="A32" s="421">
        <v>142</v>
      </c>
      <c r="B32" s="563" t="s">
        <v>440</v>
      </c>
      <c r="C32" s="424"/>
      <c r="D32" s="564" t="s">
        <v>421</v>
      </c>
      <c r="E32" s="565">
        <v>1.3</v>
      </c>
      <c r="F32" s="390"/>
    </row>
    <row r="33" spans="1:6" x14ac:dyDescent="0.4">
      <c r="A33" s="421">
        <v>143</v>
      </c>
      <c r="B33" s="563" t="s">
        <v>441</v>
      </c>
      <c r="C33" s="424"/>
      <c r="D33" s="564" t="s">
        <v>421</v>
      </c>
      <c r="E33" s="565">
        <v>1.7</v>
      </c>
      <c r="F33" s="390"/>
    </row>
    <row r="34" spans="1:6" x14ac:dyDescent="0.4">
      <c r="A34" s="421">
        <v>144</v>
      </c>
      <c r="B34" s="563" t="s">
        <v>442</v>
      </c>
      <c r="C34" s="424"/>
      <c r="D34" s="564" t="s">
        <v>421</v>
      </c>
      <c r="E34" s="565">
        <v>0.6</v>
      </c>
      <c r="F34" s="390"/>
    </row>
    <row r="35" spans="1:6" x14ac:dyDescent="0.4">
      <c r="A35" s="467">
        <v>145</v>
      </c>
      <c r="B35" s="571" t="s">
        <v>443</v>
      </c>
      <c r="C35" s="468"/>
      <c r="D35" s="567" t="s">
        <v>421</v>
      </c>
      <c r="E35" s="568">
        <v>0.8</v>
      </c>
      <c r="F35" s="390"/>
    </row>
    <row r="36" spans="1:6" x14ac:dyDescent="0.4">
      <c r="A36" s="390"/>
      <c r="B36" s="390"/>
      <c r="C36" s="390"/>
      <c r="D36" s="390"/>
      <c r="E36" s="390"/>
      <c r="F36" s="390"/>
    </row>
    <row r="37" spans="1:6" x14ac:dyDescent="0.4">
      <c r="A37" s="390"/>
      <c r="B37" s="390"/>
      <c r="C37" s="390"/>
      <c r="D37" s="390"/>
      <c r="E37" s="390"/>
      <c r="F37" s="390"/>
    </row>
    <row r="38" spans="1:6" x14ac:dyDescent="0.4">
      <c r="A38" s="390"/>
      <c r="B38" s="390"/>
      <c r="C38" s="390"/>
      <c r="D38" s="390"/>
      <c r="E38" s="390"/>
      <c r="F38" s="390"/>
    </row>
    <row r="39" spans="1:6" x14ac:dyDescent="0.4">
      <c r="B39" s="390"/>
      <c r="C39" s="390"/>
      <c r="D39" s="390"/>
      <c r="E39" s="390"/>
      <c r="F39" s="390"/>
    </row>
    <row r="40" spans="1:6" x14ac:dyDescent="0.4">
      <c r="B40" s="390"/>
      <c r="C40" s="390"/>
      <c r="D40" s="390"/>
      <c r="E40" s="390"/>
      <c r="F40" s="390"/>
    </row>
  </sheetData>
  <phoneticPr fontId="27" type="noConversion"/>
  <printOptions gridLines="1" gridLinesSet="0"/>
  <pageMargins left="0.78740157480314965" right="0.19685039370078741" top="0.59055118110236227" bottom="0.59055118110236227" header="0.51181102362204722" footer="0.31496062992125984"/>
  <pageSetup paperSize="9" scale="90" orientation="portrait" horizontalDpi="4294967292" verticalDpi="300" r:id="rId1"/>
  <headerFooter alignWithMargins="0">
    <oddFooter>&amp;L&amp;D&amp;T
&amp;F&amp;CSeite: &amp;P&amp;RDeecke, Betriebsw. Büro Göttingen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77"/>
  <sheetViews>
    <sheetView workbookViewId="0">
      <selection activeCell="J33" sqref="J33"/>
    </sheetView>
  </sheetViews>
  <sheetFormatPr baseColWidth="10" defaultColWidth="11.5" defaultRowHeight="12.3" x14ac:dyDescent="0.4"/>
  <cols>
    <col min="1" max="1" width="5.83203125" style="152" customWidth="1"/>
    <col min="2" max="2" width="21.5" style="152" customWidth="1"/>
    <col min="3" max="3" width="10.5" style="153" customWidth="1"/>
    <col min="4" max="5" width="7.5" style="153" customWidth="1"/>
    <col min="6" max="6" width="10.1640625" style="153" customWidth="1"/>
    <col min="7" max="8" width="11.5" style="154" customWidth="1"/>
    <col min="9" max="9" width="12.83203125" style="154" customWidth="1"/>
    <col min="10" max="10" width="2.83203125" style="152" customWidth="1"/>
    <col min="11" max="16384" width="11.5" style="152"/>
  </cols>
  <sheetData>
    <row r="1" spans="1:9" ht="14.1" x14ac:dyDescent="0.4">
      <c r="A1" s="315" t="s">
        <v>444</v>
      </c>
      <c r="I1" s="352">
        <f ca="1">NOW()</f>
        <v>45772.509750462959</v>
      </c>
    </row>
    <row r="2" spans="1:9" s="166" customFormat="1" ht="86.4" x14ac:dyDescent="0.45">
      <c r="A2" s="155" t="s">
        <v>15</v>
      </c>
      <c r="B2" s="168" t="s">
        <v>445</v>
      </c>
      <c r="C2" s="182" t="s">
        <v>446</v>
      </c>
      <c r="D2" s="572" t="s">
        <v>447</v>
      </c>
      <c r="E2" s="573"/>
      <c r="F2" s="182" t="s">
        <v>448</v>
      </c>
      <c r="G2" s="169" t="s">
        <v>449</v>
      </c>
      <c r="H2" s="169"/>
      <c r="I2" s="170"/>
    </row>
    <row r="3" spans="1:9" s="167" customFormat="1" ht="26.1" x14ac:dyDescent="0.65">
      <c r="A3" s="171"/>
      <c r="B3" s="172"/>
      <c r="C3" s="185" t="s">
        <v>450</v>
      </c>
      <c r="D3" s="185" t="s">
        <v>451</v>
      </c>
      <c r="E3" s="185" t="s">
        <v>452</v>
      </c>
      <c r="F3" s="185" t="s">
        <v>453</v>
      </c>
      <c r="G3" s="173" t="s">
        <v>22</v>
      </c>
      <c r="H3" s="173" t="s">
        <v>105</v>
      </c>
      <c r="I3" s="173" t="s">
        <v>106</v>
      </c>
    </row>
    <row r="4" spans="1:9" ht="13.8" x14ac:dyDescent="0.45">
      <c r="A4" s="158">
        <v>1</v>
      </c>
      <c r="B4" s="164" t="s">
        <v>454</v>
      </c>
      <c r="C4" s="159">
        <v>86</v>
      </c>
      <c r="D4" s="159">
        <v>50</v>
      </c>
      <c r="E4" s="159">
        <v>70</v>
      </c>
      <c r="F4" s="159" t="s">
        <v>455</v>
      </c>
      <c r="G4" s="160">
        <v>1.8</v>
      </c>
      <c r="H4" s="160">
        <v>0.8</v>
      </c>
      <c r="I4" s="160">
        <v>0.6</v>
      </c>
    </row>
    <row r="5" spans="1:9" s="178" customFormat="1" ht="14.1" x14ac:dyDescent="0.5">
      <c r="A5" s="174">
        <v>2</v>
      </c>
      <c r="B5" s="175" t="s">
        <v>456</v>
      </c>
      <c r="C5" s="176">
        <v>86</v>
      </c>
      <c r="D5" s="176">
        <v>40</v>
      </c>
      <c r="E5" s="176">
        <v>56</v>
      </c>
      <c r="F5" s="176">
        <v>0.8</v>
      </c>
      <c r="G5" s="177">
        <v>0.5</v>
      </c>
      <c r="H5" s="177">
        <v>0.3</v>
      </c>
      <c r="I5" s="177">
        <v>1.4</v>
      </c>
    </row>
    <row r="6" spans="1:9" ht="13.8" x14ac:dyDescent="0.45">
      <c r="A6" s="158">
        <v>3</v>
      </c>
      <c r="B6" s="164" t="s">
        <v>457</v>
      </c>
      <c r="C6" s="159">
        <v>86</v>
      </c>
      <c r="D6" s="159">
        <v>50</v>
      </c>
      <c r="E6" s="159">
        <v>70</v>
      </c>
      <c r="F6" s="159" t="s">
        <v>455</v>
      </c>
      <c r="G6" s="160">
        <v>2.2000000000000002</v>
      </c>
      <c r="H6" s="160">
        <v>0.8</v>
      </c>
      <c r="I6" s="160">
        <v>0.6</v>
      </c>
    </row>
    <row r="7" spans="1:9" s="178" customFormat="1" ht="14.1" x14ac:dyDescent="0.5">
      <c r="A7" s="174">
        <v>4</v>
      </c>
      <c r="B7" s="175" t="s">
        <v>456</v>
      </c>
      <c r="C7" s="176">
        <v>86</v>
      </c>
      <c r="D7" s="176">
        <v>40</v>
      </c>
      <c r="E7" s="176">
        <v>56</v>
      </c>
      <c r="F7" s="176">
        <v>0.8</v>
      </c>
      <c r="G7" s="177">
        <v>0.5</v>
      </c>
      <c r="H7" s="177">
        <v>0.3</v>
      </c>
      <c r="I7" s="177">
        <v>1.4</v>
      </c>
    </row>
    <row r="8" spans="1:9" ht="13.8" x14ac:dyDescent="0.45">
      <c r="A8" s="158">
        <v>5</v>
      </c>
      <c r="B8" s="164" t="s">
        <v>458</v>
      </c>
      <c r="C8" s="159">
        <v>86</v>
      </c>
      <c r="D8" s="159">
        <v>50</v>
      </c>
      <c r="E8" s="159">
        <v>65</v>
      </c>
      <c r="F8" s="159" t="s">
        <v>455</v>
      </c>
      <c r="G8" s="160">
        <v>1.7</v>
      </c>
      <c r="H8" s="160">
        <v>0.8</v>
      </c>
      <c r="I8" s="160">
        <v>0.6</v>
      </c>
    </row>
    <row r="9" spans="1:9" s="178" customFormat="1" ht="14.1" x14ac:dyDescent="0.5">
      <c r="A9" s="174">
        <v>6</v>
      </c>
      <c r="B9" s="175" t="s">
        <v>459</v>
      </c>
      <c r="C9" s="176">
        <v>86</v>
      </c>
      <c r="D9" s="176">
        <v>40</v>
      </c>
      <c r="E9" s="176">
        <v>52</v>
      </c>
      <c r="F9" s="176">
        <v>0.8</v>
      </c>
      <c r="G9" s="177">
        <v>0.5</v>
      </c>
      <c r="H9" s="177">
        <v>0.3</v>
      </c>
      <c r="I9" s="177">
        <v>1.7</v>
      </c>
    </row>
    <row r="10" spans="1:9" ht="13.8" x14ac:dyDescent="0.45">
      <c r="A10" s="158">
        <v>7</v>
      </c>
      <c r="B10" s="164" t="s">
        <v>460</v>
      </c>
      <c r="C10" s="159">
        <v>86</v>
      </c>
      <c r="D10" s="159">
        <v>50</v>
      </c>
      <c r="E10" s="159">
        <v>65</v>
      </c>
      <c r="F10" s="159" t="s">
        <v>455</v>
      </c>
      <c r="G10" s="160">
        <v>1.5</v>
      </c>
      <c r="H10" s="160">
        <v>0.8</v>
      </c>
      <c r="I10" s="160">
        <v>0.6</v>
      </c>
    </row>
    <row r="11" spans="1:9" s="178" customFormat="1" ht="14.1" x14ac:dyDescent="0.5">
      <c r="A11" s="174">
        <v>8</v>
      </c>
      <c r="B11" s="175" t="s">
        <v>461</v>
      </c>
      <c r="C11" s="176">
        <v>86</v>
      </c>
      <c r="D11" s="176">
        <v>55</v>
      </c>
      <c r="E11" s="176">
        <v>72</v>
      </c>
      <c r="F11" s="176">
        <v>1.1000000000000001</v>
      </c>
      <c r="G11" s="177">
        <v>0.5</v>
      </c>
      <c r="H11" s="177">
        <v>0.3</v>
      </c>
      <c r="I11" s="177">
        <v>2</v>
      </c>
    </row>
    <row r="12" spans="1:9" ht="13.8" x14ac:dyDescent="0.45">
      <c r="A12" s="158">
        <v>9</v>
      </c>
      <c r="B12" s="164" t="s">
        <v>462</v>
      </c>
      <c r="C12" s="159">
        <v>86</v>
      </c>
      <c r="D12" s="159">
        <v>50</v>
      </c>
      <c r="E12" s="159">
        <v>65</v>
      </c>
      <c r="F12" s="179" t="s">
        <v>455</v>
      </c>
      <c r="G12" s="160">
        <v>1.8</v>
      </c>
      <c r="H12" s="160">
        <v>0.8</v>
      </c>
      <c r="I12" s="160">
        <v>0.6</v>
      </c>
    </row>
    <row r="13" spans="1:9" s="178" customFormat="1" ht="14.1" x14ac:dyDescent="0.5">
      <c r="A13" s="174">
        <v>10</v>
      </c>
      <c r="B13" s="175" t="s">
        <v>325</v>
      </c>
      <c r="C13" s="176">
        <v>86</v>
      </c>
      <c r="D13" s="176">
        <v>50</v>
      </c>
      <c r="E13" s="176">
        <v>65</v>
      </c>
      <c r="F13" s="176">
        <v>1</v>
      </c>
      <c r="G13" s="177">
        <v>0.5</v>
      </c>
      <c r="H13" s="177">
        <v>0.3</v>
      </c>
      <c r="I13" s="177">
        <v>1.7</v>
      </c>
    </row>
    <row r="14" spans="1:9" ht="13.8" x14ac:dyDescent="0.45">
      <c r="A14" s="158">
        <v>11</v>
      </c>
      <c r="B14" s="164" t="s">
        <v>463</v>
      </c>
      <c r="C14" s="159">
        <v>86</v>
      </c>
      <c r="D14" s="159">
        <v>50</v>
      </c>
      <c r="E14" s="159">
        <v>60</v>
      </c>
      <c r="F14" s="159" t="s">
        <v>455</v>
      </c>
      <c r="G14" s="160">
        <v>1.7</v>
      </c>
      <c r="H14" s="160">
        <v>0.8</v>
      </c>
      <c r="I14" s="160">
        <v>0.6</v>
      </c>
    </row>
    <row r="15" spans="1:9" s="178" customFormat="1" ht="14.1" x14ac:dyDescent="0.5">
      <c r="A15" s="174">
        <v>12</v>
      </c>
      <c r="B15" s="175" t="s">
        <v>464</v>
      </c>
      <c r="C15" s="176">
        <v>86</v>
      </c>
      <c r="D15" s="176">
        <v>40</v>
      </c>
      <c r="E15" s="176">
        <v>48</v>
      </c>
      <c r="F15" s="176">
        <v>0.8</v>
      </c>
      <c r="G15" s="177">
        <v>0.5</v>
      </c>
      <c r="H15" s="177">
        <v>0.3</v>
      </c>
      <c r="I15" s="177">
        <v>1.7</v>
      </c>
    </row>
    <row r="16" spans="1:9" ht="13.8" x14ac:dyDescent="0.45">
      <c r="A16" s="158">
        <v>13</v>
      </c>
      <c r="B16" s="164" t="s">
        <v>465</v>
      </c>
      <c r="C16" s="159">
        <v>86</v>
      </c>
      <c r="D16" s="159">
        <v>50</v>
      </c>
      <c r="E16" s="159">
        <v>60</v>
      </c>
      <c r="F16" s="159" t="s">
        <v>455</v>
      </c>
      <c r="G16" s="160">
        <v>1.4</v>
      </c>
      <c r="H16" s="160">
        <v>0.8</v>
      </c>
      <c r="I16" s="160">
        <v>0.6</v>
      </c>
    </row>
    <row r="17" spans="1:10" s="178" customFormat="1" ht="14.1" x14ac:dyDescent="0.5">
      <c r="A17" s="174">
        <v>14</v>
      </c>
      <c r="B17" s="175" t="s">
        <v>466</v>
      </c>
      <c r="C17" s="176">
        <v>86</v>
      </c>
      <c r="D17" s="176">
        <v>40</v>
      </c>
      <c r="E17" s="176">
        <v>48</v>
      </c>
      <c r="F17" s="176">
        <v>0.8</v>
      </c>
      <c r="G17" s="177">
        <v>0.5</v>
      </c>
      <c r="H17" s="177">
        <v>0.3</v>
      </c>
      <c r="I17" s="177">
        <v>1.7</v>
      </c>
    </row>
    <row r="18" spans="1:10" ht="13.8" x14ac:dyDescent="0.45">
      <c r="A18" s="158">
        <v>15</v>
      </c>
      <c r="B18" s="164" t="s">
        <v>467</v>
      </c>
      <c r="C18" s="159">
        <v>86</v>
      </c>
      <c r="D18" s="159">
        <v>50</v>
      </c>
      <c r="E18" s="159">
        <v>60</v>
      </c>
      <c r="F18" s="159" t="s">
        <v>455</v>
      </c>
      <c r="G18" s="160">
        <v>1.5</v>
      </c>
      <c r="H18" s="160">
        <v>0.8</v>
      </c>
      <c r="I18" s="160">
        <v>0.6</v>
      </c>
    </row>
    <row r="19" spans="1:10" s="178" customFormat="1" ht="14.1" x14ac:dyDescent="0.5">
      <c r="A19" s="174">
        <v>16</v>
      </c>
      <c r="B19" s="175" t="s">
        <v>336</v>
      </c>
      <c r="C19" s="176">
        <v>86</v>
      </c>
      <c r="D19" s="176">
        <v>50</v>
      </c>
      <c r="E19" s="176">
        <v>60</v>
      </c>
      <c r="F19" s="176">
        <v>1</v>
      </c>
      <c r="G19" s="177">
        <v>0.5</v>
      </c>
      <c r="H19" s="177">
        <v>0.3</v>
      </c>
      <c r="I19" s="177">
        <v>2</v>
      </c>
    </row>
    <row r="20" spans="1:10" ht="13.8" x14ac:dyDescent="0.45">
      <c r="A20" s="158">
        <v>17</v>
      </c>
      <c r="B20" s="164" t="s">
        <v>468</v>
      </c>
      <c r="C20" s="159">
        <v>86</v>
      </c>
      <c r="D20" s="159">
        <v>70</v>
      </c>
      <c r="E20" s="159">
        <v>80</v>
      </c>
      <c r="F20" s="159"/>
      <c r="G20" s="160">
        <v>1.5</v>
      </c>
      <c r="H20" s="160">
        <v>0.8</v>
      </c>
      <c r="I20" s="160">
        <v>0.5</v>
      </c>
    </row>
    <row r="21" spans="1:10" ht="13.8" x14ac:dyDescent="0.45">
      <c r="A21" s="158">
        <v>18</v>
      </c>
      <c r="B21" s="164" t="s">
        <v>469</v>
      </c>
      <c r="C21" s="159">
        <v>86</v>
      </c>
      <c r="D21" s="159">
        <v>35</v>
      </c>
      <c r="E21" s="159">
        <v>45</v>
      </c>
      <c r="F21" s="159"/>
      <c r="G21" s="160"/>
      <c r="H21" s="160">
        <v>1.2</v>
      </c>
      <c r="I21" s="160">
        <v>1.4</v>
      </c>
      <c r="J21" s="194" t="s">
        <v>470</v>
      </c>
    </row>
    <row r="22" spans="1:10" ht="13.8" x14ac:dyDescent="0.45">
      <c r="A22" s="158">
        <v>19</v>
      </c>
      <c r="B22" s="164" t="s">
        <v>471</v>
      </c>
      <c r="C22" s="159">
        <v>86</v>
      </c>
      <c r="D22" s="159">
        <v>35</v>
      </c>
      <c r="E22" s="159">
        <v>45</v>
      </c>
      <c r="F22" s="159"/>
      <c r="G22" s="160"/>
      <c r="H22" s="160">
        <v>1.1000000000000001</v>
      </c>
      <c r="I22" s="160">
        <v>1.4</v>
      </c>
      <c r="J22" s="194" t="s">
        <v>470</v>
      </c>
    </row>
    <row r="23" spans="1:10" ht="13.8" x14ac:dyDescent="0.45">
      <c r="A23" s="158">
        <v>20</v>
      </c>
      <c r="B23" s="164" t="s">
        <v>472</v>
      </c>
      <c r="C23" s="159">
        <v>91</v>
      </c>
      <c r="D23" s="159">
        <v>30</v>
      </c>
      <c r="E23" s="159">
        <v>35</v>
      </c>
      <c r="F23" s="159"/>
      <c r="G23" s="160">
        <v>3.3</v>
      </c>
      <c r="H23" s="160">
        <v>1.8</v>
      </c>
      <c r="I23" s="160">
        <v>1</v>
      </c>
    </row>
    <row r="24" spans="1:10" ht="13.8" x14ac:dyDescent="0.45">
      <c r="A24" s="158">
        <v>21</v>
      </c>
      <c r="B24" s="164" t="s">
        <v>473</v>
      </c>
      <c r="C24" s="159">
        <v>91</v>
      </c>
      <c r="D24" s="159">
        <v>15</v>
      </c>
      <c r="E24" s="159">
        <v>25</v>
      </c>
      <c r="F24" s="159"/>
      <c r="G24" s="160">
        <v>2.8</v>
      </c>
      <c r="H24" s="160">
        <v>1.6</v>
      </c>
      <c r="I24" s="160">
        <v>2.4</v>
      </c>
    </row>
    <row r="25" spans="1:10" ht="13.8" x14ac:dyDescent="0.45">
      <c r="A25" s="158">
        <v>22</v>
      </c>
      <c r="B25" s="164" t="s">
        <v>474</v>
      </c>
      <c r="C25" s="159">
        <v>91</v>
      </c>
      <c r="D25" s="159">
        <v>15</v>
      </c>
      <c r="E25" s="159">
        <v>18</v>
      </c>
      <c r="F25" s="159" t="s">
        <v>455</v>
      </c>
      <c r="G25" s="160">
        <v>3.5</v>
      </c>
      <c r="H25" s="160">
        <v>1.2</v>
      </c>
      <c r="I25" s="160">
        <v>1</v>
      </c>
    </row>
    <row r="26" spans="1:10" s="178" customFormat="1" ht="14.1" x14ac:dyDescent="0.5">
      <c r="A26" s="174">
        <v>23</v>
      </c>
      <c r="B26" s="175" t="s">
        <v>475</v>
      </c>
      <c r="C26" s="176">
        <v>86</v>
      </c>
      <c r="D26" s="176">
        <v>18</v>
      </c>
      <c r="E26" s="176">
        <v>22</v>
      </c>
      <c r="F26" s="176">
        <v>1.2</v>
      </c>
      <c r="G26" s="177">
        <v>0.8</v>
      </c>
      <c r="H26" s="177">
        <v>0.3</v>
      </c>
      <c r="I26" s="177">
        <v>2.1</v>
      </c>
    </row>
    <row r="27" spans="1:10" ht="13.8" x14ac:dyDescent="0.45">
      <c r="A27" s="158">
        <v>24</v>
      </c>
      <c r="B27" s="164" t="s">
        <v>346</v>
      </c>
      <c r="C27" s="159">
        <v>100</v>
      </c>
      <c r="D27" s="159">
        <v>80</v>
      </c>
      <c r="E27" s="159">
        <v>100</v>
      </c>
      <c r="F27" s="159"/>
      <c r="G27" s="160">
        <v>0.75</v>
      </c>
      <c r="H27" s="160">
        <v>0.75</v>
      </c>
      <c r="I27" s="160">
        <v>2</v>
      </c>
    </row>
    <row r="28" spans="1:10" ht="13.8" x14ac:dyDescent="0.45">
      <c r="A28" s="158">
        <v>25</v>
      </c>
      <c r="B28" s="164" t="s">
        <v>476</v>
      </c>
      <c r="C28" s="159">
        <v>22</v>
      </c>
      <c r="D28" s="159">
        <v>350</v>
      </c>
      <c r="E28" s="159">
        <v>400</v>
      </c>
      <c r="F28" s="159"/>
      <c r="G28" s="160">
        <v>0.35</v>
      </c>
      <c r="H28" s="160">
        <v>0.14000000000000001</v>
      </c>
      <c r="I28" s="160">
        <v>0.6</v>
      </c>
    </row>
    <row r="29" spans="1:10" ht="13.8" x14ac:dyDescent="0.45">
      <c r="A29" s="158">
        <v>26</v>
      </c>
      <c r="B29" s="164" t="s">
        <v>477</v>
      </c>
      <c r="C29" s="159">
        <v>23</v>
      </c>
      <c r="D29" s="159">
        <v>400</v>
      </c>
      <c r="E29" s="159">
        <v>500</v>
      </c>
      <c r="F29" s="159" t="s">
        <v>455</v>
      </c>
      <c r="G29" s="160">
        <v>0.18</v>
      </c>
      <c r="H29" s="160">
        <v>0.1</v>
      </c>
      <c r="I29" s="160">
        <v>0.25</v>
      </c>
    </row>
    <row r="30" spans="1:10" s="178" customFormat="1" ht="14.1" x14ac:dyDescent="0.5">
      <c r="A30" s="174">
        <v>27</v>
      </c>
      <c r="B30" s="175" t="s">
        <v>478</v>
      </c>
      <c r="C30" s="176">
        <v>16</v>
      </c>
      <c r="D30" s="176">
        <v>320</v>
      </c>
      <c r="E30" s="176">
        <v>400</v>
      </c>
      <c r="F30" s="176">
        <v>0.8</v>
      </c>
      <c r="G30" s="177">
        <v>0.39</v>
      </c>
      <c r="H30" s="177">
        <v>0.09</v>
      </c>
      <c r="I30" s="177">
        <v>0.53</v>
      </c>
    </row>
    <row r="31" spans="1:10" ht="13.8" x14ac:dyDescent="0.45">
      <c r="A31" s="158">
        <v>28</v>
      </c>
      <c r="B31" s="164" t="s">
        <v>479</v>
      </c>
      <c r="C31" s="159">
        <v>14</v>
      </c>
      <c r="D31" s="159">
        <v>800</v>
      </c>
      <c r="E31" s="159">
        <v>1000</v>
      </c>
      <c r="F31" s="159" t="s">
        <v>455</v>
      </c>
      <c r="G31" s="160">
        <v>0.18</v>
      </c>
      <c r="H31" s="160">
        <v>0.09</v>
      </c>
      <c r="I31" s="160">
        <v>0.5</v>
      </c>
    </row>
    <row r="32" spans="1:10" s="178" customFormat="1" ht="14.1" x14ac:dyDescent="0.5">
      <c r="A32" s="174">
        <v>29</v>
      </c>
      <c r="B32" s="175" t="s">
        <v>480</v>
      </c>
      <c r="C32" s="176">
        <v>10</v>
      </c>
      <c r="D32" s="176">
        <v>240</v>
      </c>
      <c r="E32" s="176">
        <v>300</v>
      </c>
      <c r="F32" s="176">
        <v>0.3</v>
      </c>
      <c r="G32" s="177">
        <v>0.24</v>
      </c>
      <c r="H32" s="177">
        <v>7.0000000000000007E-2</v>
      </c>
      <c r="I32" s="177">
        <v>0.42</v>
      </c>
    </row>
    <row r="33" spans="1:10" ht="13.8" x14ac:dyDescent="0.45">
      <c r="A33" s="158">
        <v>30</v>
      </c>
      <c r="B33" s="164" t="s">
        <v>481</v>
      </c>
      <c r="C33" s="159">
        <v>10</v>
      </c>
      <c r="D33" s="159">
        <v>800</v>
      </c>
      <c r="E33" s="159">
        <v>1000</v>
      </c>
      <c r="F33" s="159" t="s">
        <v>455</v>
      </c>
      <c r="G33" s="160">
        <v>0.14000000000000001</v>
      </c>
      <c r="H33" s="160">
        <v>7.0000000000000007E-2</v>
      </c>
      <c r="I33" s="160">
        <v>0.45</v>
      </c>
    </row>
    <row r="34" spans="1:10" s="178" customFormat="1" ht="14.1" x14ac:dyDescent="0.5">
      <c r="A34" s="174">
        <v>31</v>
      </c>
      <c r="B34" s="175" t="s">
        <v>482</v>
      </c>
      <c r="C34" s="176">
        <v>10</v>
      </c>
      <c r="D34" s="176">
        <v>240</v>
      </c>
      <c r="E34" s="176">
        <v>300</v>
      </c>
      <c r="F34" s="176">
        <v>0.3</v>
      </c>
      <c r="G34" s="177">
        <v>0.24</v>
      </c>
      <c r="H34" s="177">
        <v>7.0000000000000007E-2</v>
      </c>
      <c r="I34" s="177">
        <v>0.42</v>
      </c>
    </row>
    <row r="35" spans="1:10" ht="13.8" x14ac:dyDescent="0.45">
      <c r="A35" s="158">
        <v>32</v>
      </c>
      <c r="B35" s="164" t="s">
        <v>355</v>
      </c>
      <c r="C35" s="159">
        <v>32</v>
      </c>
      <c r="D35" s="159">
        <v>400</v>
      </c>
      <c r="E35" s="159">
        <v>450</v>
      </c>
      <c r="F35" s="159"/>
      <c r="G35" s="160">
        <v>0.44</v>
      </c>
      <c r="H35" s="160">
        <v>0.18</v>
      </c>
      <c r="I35" s="160">
        <v>0.49</v>
      </c>
    </row>
    <row r="36" spans="1:10" ht="13.8" x14ac:dyDescent="0.45">
      <c r="A36" s="158">
        <v>33</v>
      </c>
      <c r="B36" s="164" t="s">
        <v>357</v>
      </c>
      <c r="C36" s="159">
        <v>20</v>
      </c>
      <c r="D36" s="159"/>
      <c r="E36" s="159"/>
      <c r="F36" s="159"/>
      <c r="G36" s="160">
        <v>0.08</v>
      </c>
      <c r="H36" s="160">
        <v>0.13</v>
      </c>
      <c r="I36" s="160">
        <v>0.6</v>
      </c>
      <c r="J36" s="194" t="s">
        <v>470</v>
      </c>
    </row>
    <row r="37" spans="1:10" ht="13.8" x14ac:dyDescent="0.45">
      <c r="A37" s="158">
        <v>34</v>
      </c>
      <c r="B37" s="164" t="s">
        <v>483</v>
      </c>
      <c r="C37" s="159">
        <v>20</v>
      </c>
      <c r="D37" s="159"/>
      <c r="E37" s="159"/>
      <c r="F37" s="159"/>
      <c r="G37" s="160">
        <v>0.03</v>
      </c>
      <c r="H37" s="160">
        <v>0.14000000000000001</v>
      </c>
      <c r="I37" s="160">
        <v>0.65</v>
      </c>
      <c r="J37" s="194" t="s">
        <v>470</v>
      </c>
    </row>
    <row r="38" spans="1:10" ht="13.8" x14ac:dyDescent="0.45">
      <c r="A38" s="158">
        <v>35</v>
      </c>
      <c r="B38" s="164" t="s">
        <v>360</v>
      </c>
      <c r="C38" s="159">
        <v>20</v>
      </c>
      <c r="D38" s="159">
        <v>500</v>
      </c>
      <c r="E38" s="159">
        <v>600</v>
      </c>
      <c r="F38" s="159"/>
      <c r="G38" s="160">
        <v>0.5</v>
      </c>
      <c r="H38" s="160">
        <v>0.18</v>
      </c>
      <c r="I38" s="160">
        <v>0.7</v>
      </c>
    </row>
    <row r="39" spans="1:10" ht="13.8" x14ac:dyDescent="0.45">
      <c r="A39" s="158">
        <v>36</v>
      </c>
      <c r="B39" s="164" t="s">
        <v>484</v>
      </c>
      <c r="C39" s="159">
        <v>20</v>
      </c>
      <c r="D39" s="159"/>
      <c r="E39" s="159"/>
      <c r="F39" s="159"/>
      <c r="G39" s="160">
        <v>0.23</v>
      </c>
      <c r="H39" s="160">
        <v>0.14000000000000001</v>
      </c>
      <c r="I39" s="160">
        <v>0.62</v>
      </c>
      <c r="J39" s="194" t="s">
        <v>470</v>
      </c>
    </row>
    <row r="40" spans="1:10" ht="13.8" x14ac:dyDescent="0.45">
      <c r="A40" s="158">
        <v>37</v>
      </c>
      <c r="B40" s="164" t="s">
        <v>363</v>
      </c>
      <c r="C40" s="159">
        <v>20</v>
      </c>
      <c r="D40" s="159"/>
      <c r="E40" s="159"/>
      <c r="F40" s="159"/>
      <c r="G40" s="160">
        <v>0.25</v>
      </c>
      <c r="H40" s="160">
        <v>0.15</v>
      </c>
      <c r="I40" s="160">
        <v>0.65</v>
      </c>
      <c r="J40" s="194" t="s">
        <v>470</v>
      </c>
    </row>
    <row r="41" spans="1:10" ht="13.8" x14ac:dyDescent="0.45">
      <c r="A41" s="161">
        <v>38</v>
      </c>
      <c r="B41" s="165" t="s">
        <v>364</v>
      </c>
      <c r="C41" s="162">
        <v>16</v>
      </c>
      <c r="D41" s="162">
        <v>250</v>
      </c>
      <c r="E41" s="162">
        <v>300</v>
      </c>
      <c r="F41" s="162"/>
      <c r="G41" s="163">
        <v>0.35</v>
      </c>
      <c r="H41" s="163">
        <v>0.11</v>
      </c>
      <c r="I41" s="163">
        <v>0.45</v>
      </c>
    </row>
    <row r="42" spans="1:10" ht="14.1" x14ac:dyDescent="0.4">
      <c r="A42" s="315" t="s">
        <v>444</v>
      </c>
      <c r="I42" s="314">
        <f ca="1">NOW()</f>
        <v>45772.509750462959</v>
      </c>
    </row>
    <row r="43" spans="1:10" ht="13.8" x14ac:dyDescent="0.45">
      <c r="A43" s="180"/>
      <c r="B43" s="181"/>
      <c r="C43" s="182" t="s">
        <v>485</v>
      </c>
      <c r="D43" s="183"/>
      <c r="E43" s="184"/>
      <c r="F43" s="156"/>
      <c r="G43" s="169" t="s">
        <v>449</v>
      </c>
      <c r="H43" s="169"/>
      <c r="I43" s="170"/>
    </row>
    <row r="44" spans="1:10" ht="70.2" x14ac:dyDescent="0.65">
      <c r="A44" s="157" t="s">
        <v>486</v>
      </c>
      <c r="B44" s="172" t="s">
        <v>445</v>
      </c>
      <c r="C44" s="185" t="s">
        <v>487</v>
      </c>
      <c r="D44" s="186" t="s">
        <v>447</v>
      </c>
      <c r="E44" s="186"/>
      <c r="F44" s="187"/>
      <c r="G44" s="173" t="s">
        <v>22</v>
      </c>
      <c r="H44" s="173" t="s">
        <v>105</v>
      </c>
      <c r="I44" s="173" t="s">
        <v>106</v>
      </c>
    </row>
    <row r="45" spans="1:10" ht="13.8" x14ac:dyDescent="0.45">
      <c r="A45" s="158">
        <v>39</v>
      </c>
      <c r="B45" s="164" t="s">
        <v>365</v>
      </c>
      <c r="C45" s="159" t="s">
        <v>359</v>
      </c>
      <c r="D45" s="188">
        <v>350</v>
      </c>
      <c r="E45" s="188"/>
      <c r="F45" s="189"/>
      <c r="G45" s="160">
        <v>0.35</v>
      </c>
      <c r="H45" s="160">
        <v>0.12</v>
      </c>
      <c r="I45" s="160">
        <v>0.4</v>
      </c>
    </row>
    <row r="46" spans="1:10" ht="13.8" x14ac:dyDescent="0.45">
      <c r="A46" s="158">
        <v>40</v>
      </c>
      <c r="B46" s="164" t="s">
        <v>366</v>
      </c>
      <c r="C46" s="159" t="s">
        <v>359</v>
      </c>
      <c r="D46" s="188">
        <v>120</v>
      </c>
      <c r="E46" s="188"/>
      <c r="F46" s="189"/>
      <c r="G46" s="160">
        <v>0.35</v>
      </c>
      <c r="H46" s="160">
        <v>0.18</v>
      </c>
      <c r="I46" s="160">
        <v>0.5</v>
      </c>
    </row>
    <row r="47" spans="1:10" ht="13.8" x14ac:dyDescent="0.45">
      <c r="A47" s="158">
        <v>41</v>
      </c>
      <c r="B47" s="164" t="s">
        <v>367</v>
      </c>
      <c r="C47" s="159" t="s">
        <v>359</v>
      </c>
      <c r="D47" s="188">
        <v>150</v>
      </c>
      <c r="E47" s="188"/>
      <c r="F47" s="189"/>
      <c r="G47" s="160">
        <v>-0.6</v>
      </c>
      <c r="H47" s="160">
        <v>0.15</v>
      </c>
      <c r="I47" s="160">
        <v>0.3</v>
      </c>
      <c r="J47" s="194" t="s">
        <v>470</v>
      </c>
    </row>
    <row r="48" spans="1:10" ht="13.8" x14ac:dyDescent="0.45">
      <c r="A48" s="158">
        <v>42</v>
      </c>
      <c r="B48" s="164" t="s">
        <v>368</v>
      </c>
      <c r="C48" s="159" t="s">
        <v>359</v>
      </c>
      <c r="D48" s="188">
        <v>200</v>
      </c>
      <c r="E48" s="188"/>
      <c r="F48" s="189"/>
      <c r="G48" s="160">
        <v>-0.6</v>
      </c>
      <c r="H48" s="160">
        <v>0.15</v>
      </c>
      <c r="I48" s="160">
        <v>0.3</v>
      </c>
      <c r="J48" s="194" t="s">
        <v>470</v>
      </c>
    </row>
    <row r="49" spans="1:10" ht="13.8" x14ac:dyDescent="0.45">
      <c r="A49" s="158">
        <v>43</v>
      </c>
      <c r="B49" s="164" t="s">
        <v>369</v>
      </c>
      <c r="C49" s="159" t="s">
        <v>359</v>
      </c>
      <c r="D49" s="188">
        <v>450</v>
      </c>
      <c r="E49" s="188"/>
      <c r="F49" s="189"/>
      <c r="G49" s="160">
        <v>0.25</v>
      </c>
      <c r="H49" s="160">
        <v>0.1</v>
      </c>
      <c r="I49" s="160">
        <v>0.5</v>
      </c>
    </row>
    <row r="50" spans="1:10" ht="13.8" x14ac:dyDescent="0.45">
      <c r="A50" s="158">
        <v>44</v>
      </c>
      <c r="B50" s="164" t="s">
        <v>370</v>
      </c>
      <c r="C50" s="159" t="s">
        <v>359</v>
      </c>
      <c r="D50" s="188">
        <v>700</v>
      </c>
      <c r="E50" s="188"/>
      <c r="F50" s="189"/>
      <c r="G50" s="160">
        <v>0.25</v>
      </c>
      <c r="H50" s="160">
        <v>0.1</v>
      </c>
      <c r="I50" s="160">
        <v>0.35</v>
      </c>
    </row>
    <row r="51" spans="1:10" ht="13.8" x14ac:dyDescent="0.45">
      <c r="A51" s="158">
        <v>45</v>
      </c>
      <c r="B51" s="164" t="s">
        <v>371</v>
      </c>
      <c r="C51" s="159" t="s">
        <v>359</v>
      </c>
      <c r="D51" s="188">
        <v>100</v>
      </c>
      <c r="E51" s="188"/>
      <c r="F51" s="189"/>
      <c r="G51" s="160">
        <f>0.16-1.5</f>
        <v>-1.34</v>
      </c>
      <c r="H51" s="160">
        <v>0.17</v>
      </c>
      <c r="I51" s="160">
        <v>0.4</v>
      </c>
      <c r="J51" s="194" t="s">
        <v>470</v>
      </c>
    </row>
    <row r="52" spans="1:10" ht="13.8" x14ac:dyDescent="0.45">
      <c r="A52" s="158">
        <v>46</v>
      </c>
      <c r="B52" s="164" t="s">
        <v>372</v>
      </c>
      <c r="C52" s="159" t="s">
        <v>359</v>
      </c>
      <c r="D52" s="188">
        <v>50</v>
      </c>
      <c r="E52" s="188"/>
      <c r="F52" s="189"/>
      <c r="G52" s="160">
        <f>1.1-1.5</f>
        <v>-0.39999999999999991</v>
      </c>
      <c r="H52" s="160">
        <v>0.25</v>
      </c>
      <c r="I52" s="160">
        <v>0.4</v>
      </c>
      <c r="J52" s="194" t="s">
        <v>470</v>
      </c>
    </row>
    <row r="53" spans="1:10" ht="13.8" x14ac:dyDescent="0.45">
      <c r="A53" s="158">
        <v>47</v>
      </c>
      <c r="B53" s="164" t="s">
        <v>373</v>
      </c>
      <c r="C53" s="159" t="s">
        <v>359</v>
      </c>
      <c r="D53" s="188">
        <v>300</v>
      </c>
      <c r="E53" s="188"/>
      <c r="F53" s="189"/>
      <c r="G53" s="160">
        <v>0.5</v>
      </c>
      <c r="H53" s="160">
        <v>0.16</v>
      </c>
      <c r="I53" s="160">
        <v>0.55000000000000004</v>
      </c>
    </row>
    <row r="54" spans="1:10" ht="13.8" x14ac:dyDescent="0.45">
      <c r="A54" s="158">
        <v>48</v>
      </c>
      <c r="B54" s="164" t="s">
        <v>374</v>
      </c>
      <c r="C54" s="159" t="s">
        <v>359</v>
      </c>
      <c r="D54" s="188">
        <v>400</v>
      </c>
      <c r="E54" s="188"/>
      <c r="F54" s="189"/>
      <c r="G54" s="160">
        <v>0.3</v>
      </c>
      <c r="H54" s="160">
        <v>0.1</v>
      </c>
      <c r="I54" s="160">
        <v>0.45</v>
      </c>
    </row>
    <row r="55" spans="1:10" ht="13.8" x14ac:dyDescent="0.45">
      <c r="A55" s="158">
        <v>49</v>
      </c>
      <c r="B55" s="164" t="s">
        <v>375</v>
      </c>
      <c r="C55" s="159" t="s">
        <v>359</v>
      </c>
      <c r="D55" s="188">
        <v>600</v>
      </c>
      <c r="E55" s="188"/>
      <c r="F55" s="189"/>
      <c r="G55" s="160">
        <v>0.4</v>
      </c>
      <c r="H55" s="160">
        <v>0.1</v>
      </c>
      <c r="I55" s="160">
        <v>0.45</v>
      </c>
    </row>
    <row r="56" spans="1:10" ht="13.8" x14ac:dyDescent="0.45">
      <c r="A56" s="158">
        <v>50</v>
      </c>
      <c r="B56" s="164" t="s">
        <v>376</v>
      </c>
      <c r="C56" s="159" t="s">
        <v>359</v>
      </c>
      <c r="D56" s="188">
        <v>600</v>
      </c>
      <c r="E56" s="188"/>
      <c r="F56" s="189"/>
      <c r="G56" s="160">
        <v>0.2</v>
      </c>
      <c r="H56" s="160">
        <v>0.1</v>
      </c>
      <c r="I56" s="160">
        <v>0.45</v>
      </c>
    </row>
    <row r="57" spans="1:10" ht="13.8" x14ac:dyDescent="0.45">
      <c r="A57" s="158">
        <v>51</v>
      </c>
      <c r="B57" s="164" t="s">
        <v>377</v>
      </c>
      <c r="C57" s="159" t="s">
        <v>359</v>
      </c>
      <c r="D57" s="188">
        <v>400</v>
      </c>
      <c r="E57" s="188"/>
      <c r="F57" s="189"/>
      <c r="G57" s="160">
        <v>0.5</v>
      </c>
      <c r="H57" s="160">
        <v>0.15</v>
      </c>
      <c r="I57" s="160">
        <v>0.8</v>
      </c>
    </row>
    <row r="58" spans="1:10" ht="13.8" x14ac:dyDescent="0.45">
      <c r="A58" s="158">
        <v>52</v>
      </c>
      <c r="B58" s="164" t="s">
        <v>378</v>
      </c>
      <c r="C58" s="159" t="s">
        <v>359</v>
      </c>
      <c r="D58" s="188">
        <v>400</v>
      </c>
      <c r="E58" s="188"/>
      <c r="F58" s="189"/>
      <c r="G58" s="160">
        <v>0.3</v>
      </c>
      <c r="H58" s="160">
        <v>0.1</v>
      </c>
      <c r="I58" s="160">
        <v>0.4</v>
      </c>
    </row>
    <row r="59" spans="1:10" ht="13.8" x14ac:dyDescent="0.45">
      <c r="A59" s="158">
        <v>53</v>
      </c>
      <c r="B59" s="164" t="s">
        <v>379</v>
      </c>
      <c r="C59" s="159" t="s">
        <v>359</v>
      </c>
      <c r="D59" s="188">
        <v>200</v>
      </c>
      <c r="E59" s="188"/>
      <c r="F59" s="189"/>
      <c r="G59" s="160">
        <v>0.33</v>
      </c>
      <c r="H59" s="160">
        <v>0.24</v>
      </c>
      <c r="I59" s="160">
        <v>0.8</v>
      </c>
    </row>
    <row r="60" spans="1:10" ht="13.8" x14ac:dyDescent="0.45">
      <c r="A60" s="158">
        <v>54</v>
      </c>
      <c r="B60" s="164" t="s">
        <v>380</v>
      </c>
      <c r="C60" s="159" t="s">
        <v>359</v>
      </c>
      <c r="D60" s="188">
        <v>450</v>
      </c>
      <c r="E60" s="188"/>
      <c r="F60" s="189"/>
      <c r="G60" s="160">
        <v>0.24</v>
      </c>
      <c r="H60" s="160">
        <v>0.11</v>
      </c>
      <c r="I60" s="160">
        <v>0.49</v>
      </c>
    </row>
    <row r="61" spans="1:10" ht="13.8" x14ac:dyDescent="0.45">
      <c r="A61" s="158">
        <v>55</v>
      </c>
      <c r="B61" s="164" t="s">
        <v>381</v>
      </c>
      <c r="C61" s="159" t="s">
        <v>359</v>
      </c>
      <c r="D61" s="188">
        <v>500</v>
      </c>
      <c r="E61" s="188"/>
      <c r="F61" s="189"/>
      <c r="G61" s="160">
        <v>0.3</v>
      </c>
      <c r="H61" s="160">
        <v>0.15</v>
      </c>
      <c r="I61" s="160">
        <v>0.5</v>
      </c>
    </row>
    <row r="62" spans="1:10" ht="13.8" x14ac:dyDescent="0.45">
      <c r="A62" s="158">
        <v>56</v>
      </c>
      <c r="B62" s="164" t="s">
        <v>382</v>
      </c>
      <c r="C62" s="159" t="s">
        <v>359</v>
      </c>
      <c r="D62" s="188">
        <v>500</v>
      </c>
      <c r="E62" s="188"/>
      <c r="F62" s="189"/>
      <c r="G62" s="160">
        <v>0.25</v>
      </c>
      <c r="H62" s="160">
        <v>0.08</v>
      </c>
      <c r="I62" s="160">
        <v>0.35</v>
      </c>
    </row>
    <row r="63" spans="1:10" ht="13.8" x14ac:dyDescent="0.45">
      <c r="A63" s="158">
        <v>57</v>
      </c>
      <c r="B63" s="164" t="s">
        <v>383</v>
      </c>
      <c r="C63" s="159" t="s">
        <v>359</v>
      </c>
      <c r="D63" s="188">
        <v>500</v>
      </c>
      <c r="E63" s="188"/>
      <c r="F63" s="189"/>
      <c r="G63" s="160">
        <v>0.3</v>
      </c>
      <c r="H63" s="160">
        <v>0.2</v>
      </c>
      <c r="I63" s="160">
        <v>0.6</v>
      </c>
    </row>
    <row r="64" spans="1:10" ht="13.8" x14ac:dyDescent="0.45">
      <c r="A64" s="158">
        <v>58</v>
      </c>
      <c r="B64" s="164" t="s">
        <v>384</v>
      </c>
      <c r="C64" s="159" t="s">
        <v>359</v>
      </c>
      <c r="D64" s="188">
        <v>500</v>
      </c>
      <c r="E64" s="188"/>
      <c r="F64" s="189"/>
      <c r="G64" s="160">
        <v>0.3</v>
      </c>
      <c r="H64" s="160">
        <v>0.2</v>
      </c>
      <c r="I64" s="160">
        <v>0.6</v>
      </c>
    </row>
    <row r="65" spans="1:9" ht="13.8" x14ac:dyDescent="0.45">
      <c r="A65" s="158">
        <v>59</v>
      </c>
      <c r="B65" s="164" t="s">
        <v>385</v>
      </c>
      <c r="C65" s="159" t="s">
        <v>359</v>
      </c>
      <c r="D65" s="188">
        <v>500</v>
      </c>
      <c r="E65" s="188"/>
      <c r="F65" s="189"/>
      <c r="G65" s="160">
        <v>0.3</v>
      </c>
      <c r="H65" s="160">
        <v>0.2</v>
      </c>
      <c r="I65" s="160">
        <v>0.6</v>
      </c>
    </row>
    <row r="66" spans="1:9" ht="13.8" x14ac:dyDescent="0.45">
      <c r="A66" s="158">
        <v>60</v>
      </c>
      <c r="B66" s="164" t="s">
        <v>386</v>
      </c>
      <c r="C66" s="159" t="s">
        <v>359</v>
      </c>
      <c r="D66" s="188">
        <v>40</v>
      </c>
      <c r="E66" s="188"/>
      <c r="F66" s="189"/>
      <c r="G66" s="160">
        <v>0.2</v>
      </c>
      <c r="H66" s="160">
        <v>0.3</v>
      </c>
      <c r="I66" s="160">
        <v>1.25</v>
      </c>
    </row>
    <row r="67" spans="1:9" ht="13.8" x14ac:dyDescent="0.45">
      <c r="A67" s="158">
        <v>61</v>
      </c>
      <c r="B67" s="164" t="s">
        <v>387</v>
      </c>
      <c r="C67" s="159" t="s">
        <v>359</v>
      </c>
      <c r="D67" s="188">
        <v>250</v>
      </c>
      <c r="E67" s="188"/>
      <c r="F67" s="189"/>
      <c r="G67" s="160">
        <v>0.4</v>
      </c>
      <c r="H67" s="160">
        <v>0.14000000000000001</v>
      </c>
      <c r="I67" s="160">
        <v>0.7</v>
      </c>
    </row>
    <row r="68" spans="1:9" ht="13.8" x14ac:dyDescent="0.45">
      <c r="A68" s="158">
        <v>62</v>
      </c>
      <c r="B68" s="164" t="s">
        <v>388</v>
      </c>
      <c r="C68" s="159" t="s">
        <v>359</v>
      </c>
      <c r="D68" s="188">
        <v>800</v>
      </c>
      <c r="E68" s="188"/>
      <c r="F68" s="189"/>
      <c r="G68" s="160">
        <v>0.3</v>
      </c>
      <c r="H68" s="160">
        <v>0.1</v>
      </c>
      <c r="I68" s="160">
        <v>0.32</v>
      </c>
    </row>
    <row r="69" spans="1:9" ht="13.8" x14ac:dyDescent="0.45">
      <c r="A69" s="158">
        <v>63</v>
      </c>
      <c r="B69" s="164" t="s">
        <v>389</v>
      </c>
      <c r="C69" s="159" t="s">
        <v>359</v>
      </c>
      <c r="D69" s="188">
        <v>350</v>
      </c>
      <c r="E69" s="188"/>
      <c r="F69" s="189"/>
      <c r="G69" s="160">
        <v>0.35</v>
      </c>
      <c r="H69" s="160">
        <v>0.12</v>
      </c>
      <c r="I69" s="160">
        <v>0.4</v>
      </c>
    </row>
    <row r="70" spans="1:9" ht="13.8" x14ac:dyDescent="0.45">
      <c r="A70" s="158">
        <v>64</v>
      </c>
      <c r="B70" s="164" t="s">
        <v>390</v>
      </c>
      <c r="C70" s="159" t="s">
        <v>359</v>
      </c>
      <c r="D70" s="188">
        <v>400</v>
      </c>
      <c r="E70" s="188"/>
      <c r="F70" s="189"/>
      <c r="G70" s="160">
        <v>0.2</v>
      </c>
      <c r="H70" s="160">
        <v>0.1</v>
      </c>
      <c r="I70" s="160">
        <v>0.2</v>
      </c>
    </row>
    <row r="71" spans="1:9" ht="13.8" x14ac:dyDescent="0.45">
      <c r="A71" s="158"/>
      <c r="B71" s="164"/>
      <c r="C71" s="159"/>
      <c r="D71" s="188"/>
      <c r="E71" s="188"/>
      <c r="F71" s="189"/>
      <c r="G71" s="160"/>
      <c r="H71" s="160"/>
      <c r="I71" s="160"/>
    </row>
    <row r="72" spans="1:9" ht="13.8" x14ac:dyDescent="0.45">
      <c r="A72" s="161">
        <v>65</v>
      </c>
      <c r="B72" s="165" t="s">
        <v>391</v>
      </c>
      <c r="C72" s="162" t="s">
        <v>359</v>
      </c>
      <c r="D72" s="190"/>
      <c r="E72" s="190"/>
      <c r="F72" s="191"/>
      <c r="G72" s="163">
        <v>3</v>
      </c>
      <c r="H72" s="163">
        <v>0.4</v>
      </c>
      <c r="I72" s="163">
        <v>5.45</v>
      </c>
    </row>
    <row r="73" spans="1:9" x14ac:dyDescent="0.4">
      <c r="A73" s="194" t="s">
        <v>488</v>
      </c>
    </row>
    <row r="74" spans="1:9" x14ac:dyDescent="0.4">
      <c r="A74" s="194" t="s">
        <v>489</v>
      </c>
    </row>
    <row r="76" spans="1:9" x14ac:dyDescent="0.4">
      <c r="A76" s="127"/>
    </row>
    <row r="77" spans="1:9" x14ac:dyDescent="0.4">
      <c r="A77" s="127"/>
    </row>
  </sheetData>
  <phoneticPr fontId="27" type="noConversion"/>
  <printOptions gridLines="1" gridLinesSet="0"/>
  <pageMargins left="0.78740157480314965" right="0.19685039370078741" top="0.59055118110236227" bottom="0.59055118110236227" header="0.51181102362204722" footer="0.31496062992125984"/>
  <pageSetup paperSize="9" scale="90" orientation="portrait" horizontalDpi="4294967292" r:id="rId1"/>
  <headerFooter alignWithMargins="0">
    <oddFooter>&amp;L&amp;D&amp;T
&amp;F&amp;CSeite: &amp;P&amp;RDeecke, Betriebsw. Büro Göttingen</oddFooter>
  </headerFooter>
  <rowBreaks count="1" manualBreakCount="1">
    <brk id="41" max="6553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V22"/>
  <sheetViews>
    <sheetView workbookViewId="0"/>
  </sheetViews>
  <sheetFormatPr baseColWidth="10" defaultColWidth="7.5" defaultRowHeight="12.3" x14ac:dyDescent="0.4"/>
  <cols>
    <col min="1" max="1" width="2.5" style="354" customWidth="1"/>
    <col min="2" max="2" width="16.5" style="354" customWidth="1"/>
    <col min="3" max="7" width="7.5" style="354" customWidth="1"/>
    <col min="8" max="8" width="5.5" style="354" customWidth="1"/>
    <col min="9" max="9" width="7.5" style="354" customWidth="1"/>
    <col min="10" max="10" width="5.5" style="354" customWidth="1"/>
    <col min="11" max="11" width="7.5" style="354" customWidth="1"/>
    <col min="12" max="12" width="6.1640625" style="354" customWidth="1"/>
    <col min="13" max="20" width="7.5" style="354" customWidth="1"/>
    <col min="21" max="21" width="1.5" style="354" customWidth="1"/>
    <col min="22" max="16384" width="7.5" style="354"/>
  </cols>
  <sheetData>
    <row r="2" spans="1:22" ht="17.7" x14ac:dyDescent="0.6">
      <c r="B2" s="359" t="s">
        <v>490</v>
      </c>
      <c r="I2" s="355"/>
    </row>
    <row r="4" spans="1:22" x14ac:dyDescent="0.4">
      <c r="B4" s="354">
        <v>1</v>
      </c>
      <c r="C4" s="354">
        <v>2</v>
      </c>
      <c r="D4" s="354">
        <v>3</v>
      </c>
      <c r="E4" s="354">
        <v>4</v>
      </c>
      <c r="F4" s="354">
        <v>5</v>
      </c>
      <c r="G4" s="354">
        <v>6</v>
      </c>
      <c r="H4" s="354">
        <v>7</v>
      </c>
      <c r="I4" s="354">
        <v>8</v>
      </c>
      <c r="J4" s="354">
        <v>9</v>
      </c>
      <c r="K4" s="354">
        <v>10</v>
      </c>
      <c r="L4" s="354">
        <v>11</v>
      </c>
      <c r="M4" s="354">
        <v>12</v>
      </c>
      <c r="N4" s="354">
        <v>13</v>
      </c>
      <c r="O4" s="354">
        <v>14</v>
      </c>
      <c r="P4" s="354">
        <v>15</v>
      </c>
      <c r="Q4" s="354">
        <v>16</v>
      </c>
      <c r="R4" s="354">
        <v>17</v>
      </c>
      <c r="S4" s="354">
        <v>18</v>
      </c>
      <c r="T4" s="354">
        <v>19</v>
      </c>
      <c r="V4" s="354">
        <v>20</v>
      </c>
    </row>
    <row r="5" spans="1:22" x14ac:dyDescent="0.4">
      <c r="P5" s="356"/>
      <c r="Q5" s="356"/>
      <c r="R5" s="356"/>
      <c r="S5" s="356"/>
      <c r="T5" s="356"/>
      <c r="U5" s="356"/>
      <c r="V5" s="356"/>
    </row>
    <row r="6" spans="1:22" x14ac:dyDescent="0.4">
      <c r="A6" s="354">
        <v>1</v>
      </c>
      <c r="B6" s="354" t="s">
        <v>491</v>
      </c>
      <c r="C6" s="356" t="s">
        <v>492</v>
      </c>
      <c r="D6" s="356" t="s">
        <v>251</v>
      </c>
      <c r="E6" s="356" t="s">
        <v>493</v>
      </c>
      <c r="F6" s="356" t="s">
        <v>494</v>
      </c>
      <c r="G6" s="356" t="s">
        <v>495</v>
      </c>
      <c r="H6" s="356" t="s">
        <v>496</v>
      </c>
      <c r="I6" s="356" t="s">
        <v>497</v>
      </c>
      <c r="J6" s="356" t="s">
        <v>498</v>
      </c>
      <c r="K6" s="356" t="s">
        <v>498</v>
      </c>
      <c r="L6" s="356" t="s">
        <v>499</v>
      </c>
      <c r="M6" s="356" t="s">
        <v>499</v>
      </c>
      <c r="N6" s="356" t="s">
        <v>294</v>
      </c>
      <c r="O6" s="356" t="s">
        <v>294</v>
      </c>
      <c r="P6" s="356" t="s">
        <v>251</v>
      </c>
      <c r="Q6" s="356" t="s">
        <v>500</v>
      </c>
      <c r="R6" s="356" t="s">
        <v>500</v>
      </c>
      <c r="S6" s="356" t="s">
        <v>500</v>
      </c>
      <c r="T6" s="356" t="s">
        <v>501</v>
      </c>
      <c r="U6" s="356"/>
      <c r="V6" s="356" t="s">
        <v>502</v>
      </c>
    </row>
    <row r="7" spans="1:22" x14ac:dyDescent="0.4">
      <c r="A7" s="354">
        <f>A6+1</f>
        <v>2</v>
      </c>
      <c r="C7" s="356" t="s">
        <v>503</v>
      </c>
      <c r="D7" s="356" t="s">
        <v>504</v>
      </c>
      <c r="E7" s="356" t="s">
        <v>296</v>
      </c>
      <c r="F7" s="356" t="s">
        <v>505</v>
      </c>
      <c r="G7" s="356" t="s">
        <v>505</v>
      </c>
      <c r="H7" s="356"/>
      <c r="I7" s="356"/>
      <c r="J7" s="356" t="s">
        <v>296</v>
      </c>
      <c r="K7" s="356" t="s">
        <v>296</v>
      </c>
      <c r="L7" s="356" t="s">
        <v>506</v>
      </c>
      <c r="M7" s="356" t="s">
        <v>506</v>
      </c>
      <c r="N7" s="356" t="s">
        <v>296</v>
      </c>
      <c r="O7" s="356" t="s">
        <v>296</v>
      </c>
      <c r="P7" s="356" t="s">
        <v>507</v>
      </c>
      <c r="Q7" s="356" t="s">
        <v>508</v>
      </c>
      <c r="R7" s="356" t="s">
        <v>508</v>
      </c>
      <c r="S7" s="356" t="s">
        <v>508</v>
      </c>
      <c r="T7" s="356"/>
      <c r="U7" s="356"/>
      <c r="V7" s="356" t="s">
        <v>244</v>
      </c>
    </row>
    <row r="8" spans="1:22" x14ac:dyDescent="0.4">
      <c r="A8" s="354">
        <f>A7+1</f>
        <v>3</v>
      </c>
      <c r="C8" s="356" t="s">
        <v>232</v>
      </c>
      <c r="D8" s="356" t="s">
        <v>509</v>
      </c>
      <c r="E8" s="356" t="s">
        <v>419</v>
      </c>
      <c r="F8" s="356" t="s">
        <v>232</v>
      </c>
      <c r="G8" s="356" t="s">
        <v>232</v>
      </c>
      <c r="H8" s="356" t="s">
        <v>31</v>
      </c>
      <c r="I8" s="356" t="s">
        <v>419</v>
      </c>
      <c r="J8" s="356" t="s">
        <v>31</v>
      </c>
      <c r="K8" s="356" t="s">
        <v>419</v>
      </c>
      <c r="L8" s="356" t="s">
        <v>31</v>
      </c>
      <c r="M8" s="356" t="s">
        <v>419</v>
      </c>
      <c r="N8" s="356" t="s">
        <v>510</v>
      </c>
      <c r="O8" s="356" t="s">
        <v>245</v>
      </c>
      <c r="P8" s="356" t="s">
        <v>511</v>
      </c>
      <c r="Q8" s="356" t="s">
        <v>512</v>
      </c>
      <c r="R8" s="356" t="s">
        <v>513</v>
      </c>
      <c r="S8" s="356" t="s">
        <v>514</v>
      </c>
      <c r="T8" s="356" t="s">
        <v>514</v>
      </c>
      <c r="U8" s="356"/>
      <c r="V8" s="356" t="s">
        <v>245</v>
      </c>
    </row>
    <row r="10" spans="1:22" x14ac:dyDescent="0.4">
      <c r="A10" s="354">
        <f>A8+1</f>
        <v>4</v>
      </c>
      <c r="C10" s="354">
        <v>1000</v>
      </c>
      <c r="O10" s="357"/>
    </row>
    <row r="11" spans="1:22" x14ac:dyDescent="0.4">
      <c r="A11" s="354">
        <f>A10+1</f>
        <v>5</v>
      </c>
      <c r="B11" s="354" t="s">
        <v>515</v>
      </c>
      <c r="D11" s="354">
        <v>36</v>
      </c>
      <c r="E11" s="354">
        <v>135000</v>
      </c>
      <c r="F11" s="354">
        <v>60000</v>
      </c>
      <c r="G11" s="354">
        <v>7000</v>
      </c>
      <c r="H11" s="358">
        <f>G11/F11*100</f>
        <v>11.666666666666666</v>
      </c>
      <c r="I11" s="354">
        <f>E11*H11/100</f>
        <v>15750</v>
      </c>
      <c r="J11" s="354">
        <v>6</v>
      </c>
      <c r="K11" s="354">
        <f>E11*J11/100</f>
        <v>8100</v>
      </c>
      <c r="L11" s="354">
        <v>3</v>
      </c>
      <c r="M11" s="354">
        <f>E11*L11/100</f>
        <v>4050</v>
      </c>
      <c r="N11" s="354">
        <f>I11+K11+M11</f>
        <v>27900</v>
      </c>
      <c r="O11" s="357">
        <f>N11/G11</f>
        <v>3.9857142857142858</v>
      </c>
      <c r="P11" s="357">
        <v>0.14000000000000001</v>
      </c>
      <c r="Q11" s="354">
        <v>180</v>
      </c>
      <c r="R11" s="357">
        <v>0.35</v>
      </c>
      <c r="S11" s="354">
        <f>Q11*R11</f>
        <v>62.999999999999993</v>
      </c>
      <c r="T11" s="354">
        <v>30</v>
      </c>
      <c r="V11" s="357">
        <f>(S11+T11)*P11+O11</f>
        <v>17.005714285714287</v>
      </c>
    </row>
    <row r="12" spans="1:22" x14ac:dyDescent="0.4">
      <c r="A12" s="354">
        <f>A11+1</f>
        <v>6</v>
      </c>
      <c r="B12" s="354" t="s">
        <v>516</v>
      </c>
      <c r="D12" s="354">
        <v>24</v>
      </c>
      <c r="E12" s="354">
        <v>85000</v>
      </c>
      <c r="F12" s="354">
        <v>40000</v>
      </c>
      <c r="G12" s="354">
        <v>3500</v>
      </c>
      <c r="H12" s="358">
        <f>G12/F12*100</f>
        <v>8.75</v>
      </c>
      <c r="I12" s="354">
        <f>E12*H12/100</f>
        <v>7437.5</v>
      </c>
      <c r="J12" s="354">
        <v>5</v>
      </c>
      <c r="K12" s="354">
        <f>E12*J12/100</f>
        <v>4250</v>
      </c>
      <c r="L12" s="354">
        <v>3</v>
      </c>
      <c r="M12" s="354">
        <f>E12*L12/100</f>
        <v>2550</v>
      </c>
      <c r="N12" s="354">
        <f>I12+K12+M12</f>
        <v>14237.5</v>
      </c>
      <c r="O12" s="357">
        <f>N12/G12</f>
        <v>4.0678571428571431</v>
      </c>
      <c r="P12" s="357">
        <v>0.16</v>
      </c>
      <c r="Q12" s="354">
        <v>150</v>
      </c>
      <c r="R12" s="357">
        <v>0.35</v>
      </c>
      <c r="S12" s="354">
        <f>Q12*R12</f>
        <v>52.5</v>
      </c>
      <c r="T12" s="354">
        <v>30</v>
      </c>
      <c r="V12" s="357">
        <f>(S12+T12)*P12+O12</f>
        <v>17.267857142857146</v>
      </c>
    </row>
    <row r="13" spans="1:22" x14ac:dyDescent="0.4">
      <c r="A13" s="354">
        <f>A12+1</f>
        <v>7</v>
      </c>
      <c r="B13" s="354" t="s">
        <v>517</v>
      </c>
      <c r="D13" s="354">
        <v>24</v>
      </c>
      <c r="E13" s="354">
        <v>60000</v>
      </c>
      <c r="F13" s="354">
        <v>40000</v>
      </c>
      <c r="G13" s="354">
        <v>3500</v>
      </c>
      <c r="H13" s="358">
        <f>G13/F13*100</f>
        <v>8.75</v>
      </c>
      <c r="I13" s="354">
        <f>E13*H13/100</f>
        <v>5250</v>
      </c>
      <c r="J13" s="354">
        <v>5</v>
      </c>
      <c r="K13" s="354">
        <f>E13*J13/100</f>
        <v>3000</v>
      </c>
      <c r="L13" s="354">
        <v>3</v>
      </c>
      <c r="M13" s="354">
        <f>E13*L13/100</f>
        <v>1800</v>
      </c>
      <c r="N13" s="354">
        <f>I13+K13+M13</f>
        <v>10050</v>
      </c>
      <c r="O13" s="357">
        <f>N13/G13</f>
        <v>2.8714285714285714</v>
      </c>
      <c r="P13" s="357">
        <v>0.15</v>
      </c>
      <c r="Q13" s="354">
        <v>150</v>
      </c>
      <c r="R13" s="357">
        <v>0.35</v>
      </c>
      <c r="S13" s="354">
        <f>Q13*R13</f>
        <v>52.5</v>
      </c>
      <c r="T13" s="354">
        <v>30</v>
      </c>
      <c r="V13" s="357">
        <f>(S13+T13)*P13+O13</f>
        <v>15.246428571428572</v>
      </c>
    </row>
    <row r="14" spans="1:22" x14ac:dyDescent="0.4">
      <c r="A14" s="354">
        <f>A13+1</f>
        <v>8</v>
      </c>
      <c r="B14" s="354" t="s">
        <v>518</v>
      </c>
      <c r="D14" s="354">
        <v>24</v>
      </c>
      <c r="E14" s="354">
        <v>25000</v>
      </c>
      <c r="F14" s="354">
        <v>40000</v>
      </c>
      <c r="G14" s="354">
        <v>3500</v>
      </c>
      <c r="H14" s="358">
        <f>G14/F14*100</f>
        <v>8.75</v>
      </c>
      <c r="I14" s="354">
        <f>E14*H14/100</f>
        <v>2187.5</v>
      </c>
      <c r="J14" s="354">
        <v>5</v>
      </c>
      <c r="K14" s="354">
        <f>E14*J14/100</f>
        <v>1250</v>
      </c>
      <c r="L14" s="354">
        <v>3</v>
      </c>
      <c r="M14" s="354">
        <f>E14*L14/100</f>
        <v>750</v>
      </c>
      <c r="N14" s="354">
        <f>I14+K14+M14</f>
        <v>4187.5</v>
      </c>
      <c r="O14" s="357">
        <f>N14/G14</f>
        <v>1.1964285714285714</v>
      </c>
      <c r="P14" s="357">
        <v>0.14000000000000001</v>
      </c>
      <c r="Q14" s="354">
        <v>150</v>
      </c>
      <c r="R14" s="357">
        <v>0.35</v>
      </c>
      <c r="S14" s="354">
        <f>Q14*R14</f>
        <v>52.5</v>
      </c>
      <c r="T14" s="354">
        <v>30</v>
      </c>
      <c r="V14" s="357">
        <f>(S14+T14)*P14+O14</f>
        <v>12.746428571428572</v>
      </c>
    </row>
    <row r="15" spans="1:22" x14ac:dyDescent="0.4">
      <c r="A15" s="354">
        <f>A14+1</f>
        <v>9</v>
      </c>
      <c r="B15" s="354" t="s">
        <v>519</v>
      </c>
      <c r="D15" s="354">
        <v>12</v>
      </c>
      <c r="E15" s="354">
        <v>50000</v>
      </c>
      <c r="F15" s="354">
        <v>60000</v>
      </c>
      <c r="G15" s="354">
        <v>500</v>
      </c>
      <c r="H15" s="358">
        <f>G15/F15*100</f>
        <v>0.83333333333333337</v>
      </c>
      <c r="I15" s="354">
        <f>E15*H15/100</f>
        <v>416.66666666666674</v>
      </c>
      <c r="J15" s="354">
        <v>5</v>
      </c>
      <c r="K15" s="354">
        <f>E15*J15/100</f>
        <v>2500</v>
      </c>
      <c r="L15" s="354">
        <v>3</v>
      </c>
      <c r="M15" s="354">
        <f>E15*L15/100</f>
        <v>1500</v>
      </c>
      <c r="N15" s="354">
        <f>I15+K15+M15</f>
        <v>4416.666666666667</v>
      </c>
      <c r="O15" s="357">
        <f>N15/G15</f>
        <v>8.8333333333333339</v>
      </c>
      <c r="P15" s="357">
        <v>0.27</v>
      </c>
      <c r="Q15" s="354">
        <v>150</v>
      </c>
      <c r="R15" s="357">
        <v>0.35</v>
      </c>
      <c r="S15" s="354">
        <f>Q15*R15</f>
        <v>52.5</v>
      </c>
      <c r="T15" s="354">
        <v>30</v>
      </c>
      <c r="V15" s="357">
        <f>(S15+T15)*P15+O15</f>
        <v>31.108333333333334</v>
      </c>
    </row>
    <row r="17" spans="1:22" x14ac:dyDescent="0.4">
      <c r="A17" s="354">
        <f>A15+1</f>
        <v>10</v>
      </c>
      <c r="C17" s="354">
        <v>500</v>
      </c>
    </row>
    <row r="18" spans="1:22" x14ac:dyDescent="0.4">
      <c r="A18" s="354">
        <f>A17+1</f>
        <v>11</v>
      </c>
      <c r="B18" s="354" t="s">
        <v>515</v>
      </c>
      <c r="D18" s="354">
        <v>36</v>
      </c>
      <c r="E18" s="354">
        <v>135000</v>
      </c>
      <c r="F18" s="354">
        <v>60000</v>
      </c>
      <c r="G18" s="354">
        <v>3500</v>
      </c>
      <c r="H18" s="358">
        <f>G18/F18*100</f>
        <v>5.833333333333333</v>
      </c>
      <c r="I18" s="354">
        <f>E18*H18/100</f>
        <v>7875</v>
      </c>
      <c r="J18" s="354">
        <v>5</v>
      </c>
      <c r="K18" s="354">
        <f>E18*J18/100</f>
        <v>6750</v>
      </c>
      <c r="L18" s="354">
        <v>3</v>
      </c>
      <c r="M18" s="354">
        <f>E18*L18/100</f>
        <v>4050</v>
      </c>
      <c r="N18" s="354">
        <f>I18+K18+M18</f>
        <v>18675</v>
      </c>
      <c r="O18" s="357">
        <f>N18/G18</f>
        <v>5.3357142857142854</v>
      </c>
      <c r="P18" s="357">
        <v>0.14000000000000001</v>
      </c>
      <c r="Q18" s="354">
        <v>180</v>
      </c>
      <c r="R18" s="357">
        <v>0.35</v>
      </c>
      <c r="S18" s="354">
        <f>Q18*R18</f>
        <v>62.999999999999993</v>
      </c>
      <c r="T18" s="354">
        <v>30</v>
      </c>
      <c r="V18" s="357">
        <f>(S18+T18)*P18+O18</f>
        <v>18.355714285714285</v>
      </c>
    </row>
    <row r="19" spans="1:22" x14ac:dyDescent="0.4">
      <c r="A19" s="354">
        <f>A18+1</f>
        <v>12</v>
      </c>
      <c r="B19" s="354" t="s">
        <v>516</v>
      </c>
      <c r="D19" s="354">
        <v>24</v>
      </c>
      <c r="E19" s="354">
        <v>85000</v>
      </c>
      <c r="F19" s="354">
        <v>40000</v>
      </c>
      <c r="G19" s="354">
        <v>1750</v>
      </c>
      <c r="H19" s="358">
        <f>G19/F19*100</f>
        <v>4.375</v>
      </c>
      <c r="I19" s="354">
        <f>E19*H19/100</f>
        <v>3718.75</v>
      </c>
      <c r="J19" s="354">
        <v>4</v>
      </c>
      <c r="K19" s="354">
        <f>E19*J19/100</f>
        <v>3400</v>
      </c>
      <c r="L19" s="354">
        <v>3</v>
      </c>
      <c r="M19" s="354">
        <f>E19*L19/100</f>
        <v>2550</v>
      </c>
      <c r="N19" s="354">
        <f>I19+K19+M19</f>
        <v>9668.75</v>
      </c>
      <c r="O19" s="357">
        <f>N19/G19</f>
        <v>5.5250000000000004</v>
      </c>
      <c r="P19" s="357">
        <v>0.16</v>
      </c>
      <c r="Q19" s="354">
        <v>150</v>
      </c>
      <c r="R19" s="357">
        <v>0.35</v>
      </c>
      <c r="S19" s="354">
        <f>Q19*R19</f>
        <v>52.5</v>
      </c>
      <c r="T19" s="354">
        <v>30</v>
      </c>
      <c r="V19" s="357">
        <f>(S19+T19)*P19+O19</f>
        <v>18.725000000000001</v>
      </c>
    </row>
    <row r="20" spans="1:22" x14ac:dyDescent="0.4">
      <c r="A20" s="354">
        <f>A19+1</f>
        <v>13</v>
      </c>
      <c r="B20" s="354" t="s">
        <v>517</v>
      </c>
      <c r="D20" s="354">
        <v>24</v>
      </c>
      <c r="E20" s="354">
        <v>60000</v>
      </c>
      <c r="F20" s="354">
        <v>40000</v>
      </c>
      <c r="G20" s="354">
        <v>1750</v>
      </c>
      <c r="H20" s="358">
        <f>G20/F20*100</f>
        <v>4.375</v>
      </c>
      <c r="I20" s="354">
        <f>E20*H20/100</f>
        <v>2625</v>
      </c>
      <c r="J20" s="354">
        <v>4</v>
      </c>
      <c r="K20" s="354">
        <f>E20*J20/100</f>
        <v>2400</v>
      </c>
      <c r="L20" s="354">
        <v>3</v>
      </c>
      <c r="M20" s="354">
        <f>E20*L20/100</f>
        <v>1800</v>
      </c>
      <c r="N20" s="354">
        <f>I20+K20+M20</f>
        <v>6825</v>
      </c>
      <c r="O20" s="357">
        <f>N20/G20</f>
        <v>3.9</v>
      </c>
      <c r="P20" s="357">
        <v>0.15</v>
      </c>
      <c r="Q20" s="354">
        <v>150</v>
      </c>
      <c r="R20" s="357">
        <v>0.35</v>
      </c>
      <c r="S20" s="354">
        <f>Q20*R20</f>
        <v>52.5</v>
      </c>
      <c r="T20" s="354">
        <v>30</v>
      </c>
      <c r="V20" s="357">
        <f>(S20+T20)*P20+O20</f>
        <v>16.274999999999999</v>
      </c>
    </row>
    <row r="21" spans="1:22" x14ac:dyDescent="0.4">
      <c r="A21" s="354">
        <f>A20+1</f>
        <v>14</v>
      </c>
      <c r="B21" s="354" t="s">
        <v>518</v>
      </c>
      <c r="D21" s="354">
        <v>24</v>
      </c>
      <c r="E21" s="354">
        <v>25000</v>
      </c>
      <c r="F21" s="354">
        <v>40000</v>
      </c>
      <c r="G21" s="354">
        <v>1750</v>
      </c>
      <c r="H21" s="358">
        <f>G21/F21*100</f>
        <v>4.375</v>
      </c>
      <c r="I21" s="354">
        <f>E21*H21/100</f>
        <v>1093.75</v>
      </c>
      <c r="J21" s="354">
        <v>4</v>
      </c>
      <c r="K21" s="354">
        <f>E21*J21/100</f>
        <v>1000</v>
      </c>
      <c r="L21" s="354">
        <v>3</v>
      </c>
      <c r="M21" s="354">
        <f>E21*L21/100</f>
        <v>750</v>
      </c>
      <c r="N21" s="354">
        <f>I21+K21+M21</f>
        <v>2843.75</v>
      </c>
      <c r="O21" s="357">
        <f>N21/G21</f>
        <v>1.625</v>
      </c>
      <c r="P21" s="357">
        <v>0.14000000000000001</v>
      </c>
      <c r="Q21" s="354">
        <v>150</v>
      </c>
      <c r="R21" s="357">
        <v>0.35</v>
      </c>
      <c r="S21" s="354">
        <f>Q21*R21</f>
        <v>52.5</v>
      </c>
      <c r="T21" s="354">
        <v>30</v>
      </c>
      <c r="V21" s="357">
        <f>(S21+T21)*P21+O21</f>
        <v>13.175000000000001</v>
      </c>
    </row>
    <row r="22" spans="1:22" x14ac:dyDescent="0.4">
      <c r="A22" s="354">
        <f>A21+1</f>
        <v>15</v>
      </c>
      <c r="B22" s="354" t="s">
        <v>519</v>
      </c>
      <c r="D22" s="354">
        <v>12</v>
      </c>
      <c r="E22" s="354">
        <v>50000</v>
      </c>
      <c r="F22" s="354">
        <v>60000</v>
      </c>
      <c r="G22" s="354">
        <v>250</v>
      </c>
      <c r="H22" s="358">
        <f>G22/F22*100</f>
        <v>0.41666666666666669</v>
      </c>
      <c r="I22" s="354">
        <f>E22*H22/100</f>
        <v>208.33333333333337</v>
      </c>
      <c r="J22" s="354">
        <v>5</v>
      </c>
      <c r="K22" s="354">
        <f>E22*J22/100</f>
        <v>2500</v>
      </c>
      <c r="L22" s="354">
        <v>3</v>
      </c>
      <c r="M22" s="354">
        <f>E22*L22/100</f>
        <v>1500</v>
      </c>
      <c r="N22" s="354">
        <f>I22+K22+M22</f>
        <v>4208.3333333333339</v>
      </c>
      <c r="O22" s="357">
        <f>N22/G22</f>
        <v>16.833333333333336</v>
      </c>
      <c r="P22" s="357">
        <v>0.27</v>
      </c>
      <c r="Q22" s="354">
        <v>150</v>
      </c>
      <c r="R22" s="357">
        <v>0.35</v>
      </c>
      <c r="S22" s="354">
        <f>Q22*R22</f>
        <v>52.5</v>
      </c>
      <c r="T22" s="354">
        <v>30</v>
      </c>
      <c r="V22" s="357">
        <f>(S22+T22)*P22+O22</f>
        <v>39.108333333333334</v>
      </c>
    </row>
  </sheetData>
  <phoneticPr fontId="27" type="noConversion"/>
  <pageMargins left="0.78740157480314965" right="0.19685039370078741" top="0.59055118110236227" bottom="0.59055118110236227" header="0.51181102362204722" footer="0.31496062992125984"/>
  <pageSetup paperSize="9" scale="90" orientation="landscape" r:id="rId1"/>
  <headerFooter alignWithMargins="0">
    <oddFooter>&amp;L&amp;D&amp;T
&amp;F&amp;CSeite: &amp;P&amp;RDeecke, Betriebsw. Büro Göttingen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d12856bd-0f77-452f-a5cd-b5365ce751a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75FB6C96CBE2F46A5358A58DB3E9EDE" ma:contentTypeVersion="16" ma:contentTypeDescription="Ein neues Dokument erstellen." ma:contentTypeScope="" ma:versionID="3321b7428c8f8ecb15d8b0f016499a41">
  <xsd:schema xmlns:xsd="http://www.w3.org/2001/XMLSchema" xmlns:xs="http://www.w3.org/2001/XMLSchema" xmlns:p="http://schemas.microsoft.com/office/2006/metadata/properties" xmlns:ns3="d12856bd-0f77-452f-a5cd-b5365ce751a3" xmlns:ns4="1c6551e3-4bc3-4a7c-81f8-758d47daddf9" targetNamespace="http://schemas.microsoft.com/office/2006/metadata/properties" ma:root="true" ma:fieldsID="e1c8d4a6e8291686efe7b512a74db57a" ns3:_="" ns4:_="">
    <xsd:import namespace="d12856bd-0f77-452f-a5cd-b5365ce751a3"/>
    <xsd:import namespace="1c6551e3-4bc3-4a7c-81f8-758d47daddf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Location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LengthInSecond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2856bd-0f77-452f-a5cd-b5365ce751a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_activity" ma:index="19" nillable="true" ma:displayName="_activity" ma:hidden="true" ma:internalName="_activity">
      <xsd:simpleType>
        <xsd:restriction base="dms:Note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1" nillable="true" ma:displayName="MediaServiceSystemTags" ma:hidden="true" ma:internalName="MediaServiceSystemTags" ma:readOnly="true">
      <xsd:simpleType>
        <xsd:restriction base="dms:Note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6551e3-4bc3-4a7c-81f8-758d47daddf9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Freigabehinweis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��< ? x m l   v e r s i o n = " 1 . 0 "   e n c o d i n g = " u t f - 1 6 " ? > < D a t a M a s h u p   s q m i d = " 7 8 f e 4 2 2 7 - b 9 5 2 - 4 a d 3 - b d 1 4 - f 6 c 5 e b 5 8 e c 0 f "   x m l n s = " h t t p : / / s c h e m a s . m i c r o s o f t . c o m / D a t a M a s h u p " > A A A A A H A F A A B Q S w M E F A A C A A g A z W G Z W k R G 6 M C l A A A A 9 g A A A B I A H A B D b 2 5 m a W c v U G F j a 2 F n Z S 5 4 b W w g o h g A K K A U A A A A A A A A A A A A A A A A A A A A A A A A A A A A h Y 9 L C s I w G I S v U r J v X o p I + Z s u 1 J 0 F Q R C 3 I Y 1 t s E 2 l S U 3 v 5 s I j e Q U r P n c u Z + Y b m L l d r p A N T R 2 d d e d M a 1 P E M E W R t q o t j C 1 T 1 P t D P E e Z g I 1 U R 1 n q a I S t S w Z n U l R 5 f 0 o I C S H g M M F t V x J O K S P 7 f L 1 V l W 5 k b K z z 0 i q N P q 3 i f w s J 2 D 3 H C I 7 Z l O E Z 5 Z g C e Z u Q G / s F + L j 3 k f 6 Y s O h r 3 3 d a F D p e r o C 8 J Z D X B 3 E H U E s D B B Q A A g A I A M 1 h m V o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D N Y Z l a I 2 I G k m k C A A D a D A A A E w A c A E Z v c m 1 1 b G F z L 1 N l Y 3 R p b 2 4 x L m 0 g o h g A K K A U A A A A A A A A A A A A A A A A A A A A A A A A A A A A 7 Z b R a t s w F I b v A 3 m H M + X G H o k T t 7 0 Y H R m k a V h h 3 e h a Q 2 G h G M U + i b X I c p G O S d u Q t 9 l j 9 K 4 v N j l O l 6 Z N o c s 2 y i C G K O L I + c + v c z 6 J G I x I Z A r O y m / / f b V S r Z i E a 4 y h x g 7 v b t U I U 0 G E 8 l K j M A j L 5 2 Q e 0 M W q z N U I Y t R w z F U 8 E Z p M l P A h m T F P U x s d 3 t 1 q i A V C 6 x 2 D N k i k a q V Q + J q j l G g j 5 z j w T v g I n W L S z R S h I u O w h O j S 7 D e b k 8 n E k 2 O T e D E 2 5 U q G Z s r 1 m J p x j o 9 8 N p n r 1 s s s h 5 x 4 y y Y p s 0 1 b s 3 4 R u V i s 1 t h H v P u h r H m y T o P r y 8 J h w A c S v U B z Z Y a Z T r u Z z F N l 1 9 A 4 c 7 X 6 d M o 6 U U J 2 2 / s A 3 / I U A h Q S V K 6 h J 9 Q N y h R l b B d R Q a 5 i u E F B U k Q J D H C k U d 0 Q w q d c G / R Y H c i q A u E V z e o w Z W V N 4 T t C T O D 4 r R a M R + 6 b J 6 + t B G Z u t S L U c 7 v 5 t w 3 1 9 7 Y N f d j Q m i O H b s 0 h P n A X 0 + V Q B h 8 s P Q w s x 7 N M k 0 C N w P O h I R Q 2 Z w z L 4 O A + 9 k J 2 X t P R R j 9 8 P Z z B 2 X G 3 O G 9 x f i W c n 8 I c L p 9 H M I d W I 1 w L c 1 j A H N q 7 O f T 3 1 r L c u 4 p Q e t 1 c 2 0 7 T e a b H g y w b O + 6 0 / 4 W n 2 F 5 z p P 7 U x R 6 7 m P U X h 2 Z T q k v 3 W 6 z / Q 6 x r z P Z 1 z p 7 / / O V 6 o L O J B e u v X K 3 M / Q V Z J z d w F H w + b n S z G M H 6 1 j w R h U 1 Y e C o c H V E q v T l 7 9 5 i B 5 a y k z 7 e b Z k H n 4 L j n R d i g O a D C h M Z W p 5 j D B 3 h r P 8 G p H f Y V J Y 0 o E T J 2 f J f N K 1 t q 7 G y k s b O i s b u R x q 7 V s C L 9 0 2 x y h t L + w 8 9 0 + y U q 7 M L d 8 J y + p O T 1 l e q u s r i s 2 L r 4 7 u 8 g + B N Q S w E C L Q A U A A I A C A D N Y Z l a R E b o w K U A A A D 2 A A A A E g A A A A A A A A A A A A A A A A A A A A A A Q 2 9 u Z m l n L 1 B h Y 2 t h Z 2 U u e G 1 s U E s B A i 0 A F A A C A A g A z W G Z W g / K 6 a u k A A A A 6 Q A A A B M A A A A A A A A A A A A A A A A A 8 Q A A A F t D b 2 5 0 Z W 5 0 X 1 R 5 c G V z X S 5 4 b W x Q S w E C L Q A U A A I A C A D N Y Z l a I 2 I G k m k C A A D a D A A A E w A A A A A A A A A A A A A A A A D i A Q A A R m 9 y b X V s Y X M v U 2 V j d G l v b j E u b V B L B Q Y A A A A A A w A D A M I A A A C Y B A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m Q g A A A A A A A I R C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x J d G V t P j x J d G V t T G 9 j Y X R p b 2 4 + P E l 0 Z W 1 U e X B l P k Z v c m 1 1 b G E 8 L 0 l 0 Z W 1 U e X B l P j x J d G V t U G F 0 a D 5 T Z W N 0 a W 9 u M S 9 E J U M z J U J D b m d l b W l 0 d G V s c H J l a X N l J T I w J T I w J T I w J T I w J T I w J T I w J T I w J T I w J T I w J T I w J T I w U H J l a X N l c m 1 p d H R s d W 5 n J T I w Z G V y J T I w T G F u Z H d p c n R z Y 2 h h Z n R z a 2 F t b W V y J T I w Z i V D M y V C Q 3 I l M j B k a W U l M j A w O D w v S X R l b V B h d G g + P C 9 J d G V t T G 9 j Y X R p b 2 4 + P F N 0 Y W J s Z U V u d H J p Z X M + P E V u d H J 5 I F R 5 c G U 9 I k l z U H J p d m F 0 Z S I g V m F s d W U 9 I m w w I i A v P j x F b n R y e S B U e X B l P S J R d W V y e U l E I i B W Y W x 1 Z T 0 i c z Z l Z D U 2 M 2 F m L W F i Y m M t N G I y M S 1 i N m E 4 L T h j Z j M w N D B j M 2 U 2 O S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T m F t Z V V w Z G F 0 Z W R B Z n R l c k Z p b G w i I F Z h b H V l P S J s M C I g L z 4 8 R W 5 0 c n k g V H l w Z T 0 i U m V z d W x 0 V H l w Z S I g V m F s d W U 9 I n N F e G N l c H R p b 2 4 i I C 8 + P E V u d H J 5 I F R 5 c G U 9 I k J 1 Z m Z l c k 5 l e H R S Z W Z y Z X N o I i B W Y W x 1 Z T 0 i b D E i I C 8 + P E V u d H J 5 I F R 5 c G U 9 I k Z p b G x l Z E N v b X B s Z X R l U m V z d W x 0 V G 9 X b 3 J r c 2 h l Z X Q i I F Z h b H V l P S J s M S I g L z 4 8 R W 5 0 c n k g V H l w Z T 0 i T m F 2 a W d h d G l v b l N 0 Z X B O Y W 1 l I i B W Y W x 1 Z T 0 i c 0 5 h d m l n Y X R p b 2 4 i I C 8 + P E V u d H J 5 I F R 5 c G U 9 I k Z p b G x M Y X N 0 V X B k Y X R l Z C I g V m F s d W U 9 I m Q y M D I 1 L T A 0 L T I 1 V D E w O j E z O j U 2 L j Q w N j Y 2 N T F a I i A v P j x F b n R y e S B U e X B l P S J G a W x s Q 2 9 s d W 1 u V H l w Z X M i I F Z h b H V l P S J z Q m d Z R y I g L z 4 8 R W 5 0 c n k g V H l w Z T 0 i R m l s b E V y c m 9 y Q 2 9 1 b n Q i I F Z h b H V l P S J s M C I g L z 4 8 R W 5 0 c n k g V H l w Z T 0 i R m l s b E N v b H V t b k 5 h b W V z I i B W Y W x 1 Z T 0 i c 1 s m c X V v d D t B Y 2 h 0 d W 5 n O i A g W n V t I F R l a W w g b n V y I E V p b n p l b G 1 l b G R 1 b m d l b i B 1 b m Q g e m V p d G x p Y 2 g g Y m V n c m V u e n R l I E t 1 c n N l L i Z x d W 9 0 O y w m c X V v d D t Q c m V p c 2 U g a m U g Z H Q g K D E w M C B r Z y k h J n F 1 b 3 Q 7 L C Z x d W 9 0 O 0 N v b H V t b j E m c X V v d D t d I i A v P j x F b n R y e S B U e X B l P S J G a W x s U 3 R h d H V z I i B W Y W x 1 Z T 0 i c 1 d h a X R p b m d G b 3 J F e G N l b F J l Z n J l c 2 g i I C 8 + P E V u d H J 5 I F R 5 c G U 9 I k Z p b G x F c n J v c k N v Z G U i I F Z h b H V l P S J z V W 5 r b m 9 3 b i I g L z 4 8 R W 5 0 c n k g V H l w Z T 0 i R m l s b E N v d W 5 0 I i B W Y W x 1 Z T 0 i b D A i I C 8 + P E V u d H J 5 I F R 5 c G U 9 I k F k Z G V k V G 9 E Y X R h T W 9 k Z W w i I F Z h b H V l P S J s M C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M O 8 b m d l b W l 0 d G V s c H J l a X N l I C A g I C A g I C A g I C B Q c m V p c 2 V y b W l 0 d G x 1 b m c g Z G V y I E x h b m R 3 a X J 0 c 2 N o Y W Z 0 c 2 t h b W 1 l c i B m w 7 x y I G R p Z S A w O C 9 B d X R v U m V t b 3 Z l Z E N v b H V t b n M x L n t B Y 2 h 0 d W 5 n O i A g W n V t I F R l a W w g b n V y I E V p b n p l b G 1 l b G R 1 b m d l b i B 1 b m Q g e m V p d G x p Y 2 g g Y m V n c m V u e n R l I E t 1 c n N l L i w w f S Z x d W 9 0 O y w m c X V v d D t T Z W N 0 a W 9 u M S 9 E w 7 x u Z 2 V t a X R 0 Z W x w c m V p c 2 U g I C A g I C A g I C A g I F B y Z W l z Z X J t a X R 0 b H V u Z y B k Z X I g T G F u Z H d p c n R z Y 2 h h Z n R z a 2 F t b W V y I G b D v H I g Z G l l I D A 4 L 0 F 1 d G 9 S Z W 1 v d m V k Q 2 9 s d W 1 u c z E u e 1 B y Z W l z Z S B q Z S B k d C A o M T A w I G t n K S E s M X 0 m c X V v d D s s J n F 1 b 3 Q 7 U 2 V j d G l v b j E v R M O 8 b m d l b W l 0 d G V s c H J l a X N l I C A g I C A g I C A g I C B Q c m V p c 2 V y b W l 0 d G x 1 b m c g Z G V y I E x h b m R 3 a X J 0 c 2 N o Y W Z 0 c 2 t h b W 1 l c i B m w 7 x y I G R p Z S A w O C 9 B d X R v U m V t b 3 Z l Z E N v b H V t b n M x L n t D b 2 x 1 b W 4 x L D J 9 J n F 1 b 3 Q 7 X S w m c X V v d D t D b 2 x 1 b W 5 D b 3 V u d C Z x d W 9 0 O z o z L C Z x d W 9 0 O 0 t l e U N v b H V t b k 5 h b W V z J n F 1 b 3 Q 7 O l t d L C Z x d W 9 0 O 0 N v b H V t b k l k Z W 5 0 a X R p Z X M m c X V v d D s 6 W y Z x d W 9 0 O 1 N l Y 3 R p b 2 4 x L 0 T D v G 5 n Z W 1 p d H R l b H B y Z W l z Z S A g I C A g I C A g I C A g U H J l a X N l c m 1 p d H R s d W 5 n I G R l c i B M Y W 5 k d 2 l y d H N j a G F m d H N r Y W 1 t Z X I g Z s O 8 c i B k a W U g M D g v Q X V 0 b 1 J l b W 9 2 Z W R D b 2 x 1 b W 5 z M S 5 7 Q W N o d H V u Z z o g I F p 1 b S B U Z W l s I G 5 1 c i B F a W 5 6 Z W x t Z W x k d W 5 n Z W 4 g d W 5 k I H p l a X R s a W N o I G J l Z 3 J l b n p 0 Z S B L d X J z Z S 4 s M H 0 m c X V v d D s s J n F 1 b 3 Q 7 U 2 V j d G l v b j E v R M O 8 b m d l b W l 0 d G V s c H J l a X N l I C A g I C A g I C A g I C B Q c m V p c 2 V y b W l 0 d G x 1 b m c g Z G V y I E x h b m R 3 a X J 0 c 2 N o Y W Z 0 c 2 t h b W 1 l c i B m w 7 x y I G R p Z S A w O C 9 B d X R v U m V t b 3 Z l Z E N v b H V t b n M x L n t Q c m V p c 2 U g a m U g Z H Q g K D E w M C B r Z y k h L D F 9 J n F 1 b 3 Q 7 L C Z x d W 9 0 O 1 N l Y 3 R p b 2 4 x L 0 T D v G 5 n Z W 1 p d H R l b H B y Z W l z Z S A g I C A g I C A g I C A g U H J l a X N l c m 1 p d H R s d W 5 n I G R l c i B M Y W 5 k d 2 l y d H N j a G F m d H N r Y W 1 t Z X I g Z s O 8 c i B k a W U g M D g v Q X V 0 b 1 J l b W 9 2 Z W R D b 2 x 1 b W 5 z M S 5 7 Q 2 9 s d W 1 u M S w y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R C V D M y V C Q 2 5 n Z W 1 p d H R l b H B y Z W l z Z S U y M C U y M C U y M C U y M C U y M C U y M C U y M C U y M C U y M C U y M C U y M F B y Z W l z Z X J t a X R 0 b H V u Z y U y M G R l c i U y M E x h b m R 3 a X J 0 c 2 N o Y W Z 0 c 2 t h b W 1 l c i U y M G Y l Q z M l Q k N y J T I w Z G l l J T I w M D g v U X V l b G x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C V D M y V C Q 2 5 n Z W 1 p d H R l b H B y Z W l z Z S U y M C U y M C U y M C U y M C U y M C U y M C U y M C U y M C U y M C U y M C U y M F B y Z W l z Z X J t a X R 0 b H V u Z y U y M G R l c i U y M E x h b m R 3 a X J 0 c 2 N o Y W Z 0 c 2 t h b W 1 l c i U y M G Y l Q z M l Q k N y J T I w Z G l l J T I w M D g v R G F 0 Y T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E J U M z J U J D b m d l b W l 0 d G V s c H J l a X N l J T I w J T I w J T I w J T I w J T I w J T I w J T I w J T I w J T I w J T I w J T I w U H J l a X N l c m 1 p d H R s d W 5 n J T I w Z G V y J T I w T G F u Z H d p c n R z Y 2 h h Z n R z a 2 F t b W V y J T I w Z i V D M y V C Q 3 I l M j B k a W U l M j A w O C 9 H Z S V D M y V B N G 5 k Z X J 0 Z X I l M j B U e X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E J U M z J U J D b m d l b W l 0 d G V s c H J l a X N l J T I w J T I w J T I w J T I w J T I w J T I w J T I w J T I w J T I w J T I w J T I w U H J l a X N l c m 1 p d H R s d W 5 n J T I w Z G V y J T I w T G F u Z H d p c n R z Y 2 h h Z n R z a 2 F t b W V y J T I w Z i V D M y V C Q 3 I l M j B k a W U l M j A x N D w v S X R l b V B h d G g + P C 9 J d G V t T G 9 j Y X R p b 2 4 + P F N 0 Y W J s Z U V u d H J p Z X M + P E V u d H J 5 I F R 5 c G U 9 I k l z U H J p d m F 0 Z S I g V m F s d W U 9 I m w w I i A v P j x F b n R y e S B U e X B l P S J R d W V y e U l E I i B W Y W x 1 Z T 0 i c z I y N z B j M T c 1 L T J i M j c t N D k x Z C 0 4 O D Z j L W I 4 N 2 Z l Z T N i M W Y y N S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T m F t Z V V w Z G F 0 Z W R B Z n R l c k Z p b G w i I F Z h b H V l P S J s M C I g L z 4 8 R W 5 0 c n k g V H l w Z T 0 i U m V z d W x 0 V H l w Z S I g V m F s d W U 9 I n N F e G N l c H R p b 2 4 i I C 8 + P E V u d H J 5 I F R 5 c G U 9 I k J 1 Z m Z l c k 5 l e H R S Z W Z y Z X N o I i B W Y W x 1 Z T 0 i b D E i I C 8 + P E V u d H J 5 I F R 5 c G U 9 I k Z p b G x l Z E N v b X B s Z X R l U m V z d W x 0 V G 9 X b 3 J r c 2 h l Z X Q i I F Z h b H V l P S J s M S I g L z 4 8 R W 5 0 c n k g V H l w Z T 0 i R m l s b E x h c 3 R V c G R h d G V k I i B W Y W x 1 Z T 0 i Z D I w M j U t M D Q t M j V U M T A 6 M T M 6 N T Y u N D I 3 N j Y 0 O V o i I C 8 + P E V u d H J 5 I F R 5 c G U 9 I k Z p b G x D b 2 x 1 b W 5 U e X B l c y I g V m F s d W U 9 I n N C Z 1 l H I i A v P j x F b n R y e S B U e X B l P S J G a W x s R X J y b 3 J D b 3 V u d C I g V m F s d W U 9 I m w w I i A v P j x F b n R y e S B U e X B l P S J G a W x s Q 2 9 s d W 1 u T m F t Z X M i I F Z h b H V l P S J z W y Z x d W 9 0 O 0 F j a H R 1 b m c 6 I C B a d W 0 g V G V p b C B u d X I g R W l u e m V s b W V s Z H V u Z 2 V u I H V u Z C B 6 Z W l 0 b G l j a C B i Z W d y Z W 5 6 d G U g S 3 V y c 2 U u X G 5 c d F x u X G 5 c b l x 0 X H R c b l x 0 X H R c d F x 0 U 2 9 y d G l l c m U g Y X V m c 3 R l a W d l b m Q g U 2 9 y d G l l c m U g Y W J z d G V p Z 2 V u Z C Z x d W 9 0 O y w m c X V v d D t Q c m V p c 2 U g a m U g Z H Q g K D E w M C B r Z y k h X G 5 c d F x u X G 5 c b l x 0 X H R c b l x 0 X H R c d F x 0 U 2 9 y d G l l c m U g Y X V m c 3 R l a W d l b m Q g U 2 9 y d G l l c m U g Y W J z d G V p Z 2 V u Z C Z x d W 9 0 O y w m c X V v d D t T b 3 J 0 a W V y Z S B h d W Z z d G V p Z 2 V u Z C B T b 3 J 0 a W V y Z S B h Y n N 0 Z W l n Z W 5 k J n F 1 b 3 Q 7 X S I g L z 4 8 R W 5 0 c n k g V H l w Z T 0 i R m l s b F N 0 Y X R 1 c y I g V m F s d W U 9 I n N D b 2 1 w b G V 0 Z S I g L z 4 8 R W 5 0 c n k g V H l w Z T 0 i R m l s b E V y c m 9 y Q 2 9 k Z S I g V m F s d W U 9 I n N V b m t u b 3 d u I i A v P j x F b n R y e S B U e X B l P S J O Y X Z p Z 2 F 0 a W 9 u U 3 R l c E 5 h b W U i I F Z h b H V l P S J z T m F 2 a W d h d G l v b i I g L z 4 8 R W 5 0 c n k g V H l w Z T 0 i R m l s b E N v d W 5 0 I i B W Y W x 1 Z T 0 i b D E 5 I i A v P j x F b n R y e S B U e X B l P S J B Z G R l Z F R v R G F 0 Y U 1 v Z G V s I i B W Y W x 1 Z T 0 i b D A i I C 8 + P E V u d H J 5 I F R 5 c G U 9 I l J l b G F 0 a W 9 u c 2 h p c E l u Z m 9 D b 2 5 0 Y W l u Z X I i I F Z h b H V l P S J z e y Z x d W 9 0 O 2 N v b H V t b k N v d W 5 0 J n F 1 b 3 Q 7 O j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T D v G 5 n Z W 1 p d H R l b H B y Z W l z Z S A g I C A g I C A g I C A g U H J l a X N l c m 1 p d H R s d W 5 n I G R l c i B M Y W 5 k d 2 l y d H N j a G F m d H N r Y W 1 t Z X I g Z s O 8 c i B k a W U g M T Q v Q X V 0 b 1 J l b W 9 2 Z W R D b 2 x 1 b W 5 z M S 5 7 Q W N o d H V u Z z o g I F p 1 b S B U Z W l s I G 5 1 c i B F a W 5 6 Z W x t Z W x k d W 5 n Z W 4 g d W 5 k I H p l a X R s a W N o I G J l Z 3 J l b n p 0 Z S B L d X J z Z S 5 c b l x 0 X G 5 c b l x u X H R c d F x u X H R c d F x 0 X H R T b 3 J 0 a W V y Z S B h d W Z z d G V p Z 2 V u Z C B T b 3 J 0 a W V y Z S B h Y n N 0 Z W l n Z W 5 k L D B 9 J n F 1 b 3 Q 7 L C Z x d W 9 0 O 1 N l Y 3 R p b 2 4 x L 0 T D v G 5 n Z W 1 p d H R l b H B y Z W l z Z S A g I C A g I C A g I C A g U H J l a X N l c m 1 p d H R s d W 5 n I G R l c i B M Y W 5 k d 2 l y d H N j a G F m d H N r Y W 1 t Z X I g Z s O 8 c i B k a W U g M T Q v Q X V 0 b 1 J l b W 9 2 Z W R D b 2 x 1 b W 5 z M S 5 7 U H J l a X N l I G p l I G R 0 I C g x M D A g a 2 c p I V x u X H R c b l x u X G 5 c d F x 0 X G 5 c d F x 0 X H R c d F N v c n R p Z X J l I G F 1 Z n N 0 Z W l n Z W 5 k I F N v c n R p Z X J l I G F i c 3 R l a W d l b m Q s M X 0 m c X V v d D s s J n F 1 b 3 Q 7 U 2 V j d G l v b j E v R M O 8 b m d l b W l 0 d G V s c H J l a X N l I C A g I C A g I C A g I C B Q c m V p c 2 V y b W l 0 d G x 1 b m c g Z G V y I E x h b m R 3 a X J 0 c 2 N o Y W Z 0 c 2 t h b W 1 l c i B m w 7 x y I G R p Z S A x N C 9 B d X R v U m V t b 3 Z l Z E N v b H V t b n M x L n t T b 3 J 0 a W V y Z S B h d W Z z d G V p Z 2 V u Z C B T b 3 J 0 a W V y Z S B h Y n N 0 Z W l n Z W 5 k L D J 9 J n F 1 b 3 Q 7 X S w m c X V v d D t D b 2 x 1 b W 5 D b 3 V u d C Z x d W 9 0 O z o z L C Z x d W 9 0 O 0 t l e U N v b H V t b k 5 h b W V z J n F 1 b 3 Q 7 O l t d L C Z x d W 9 0 O 0 N v b H V t b k l k Z W 5 0 a X R p Z X M m c X V v d D s 6 W y Z x d W 9 0 O 1 N l Y 3 R p b 2 4 x L 0 T D v G 5 n Z W 1 p d H R l b H B y Z W l z Z S A g I C A g I C A g I C A g U H J l a X N l c m 1 p d H R s d W 5 n I G R l c i B M Y W 5 k d 2 l y d H N j a G F m d H N r Y W 1 t Z X I g Z s O 8 c i B k a W U g M T Q v Q X V 0 b 1 J l b W 9 2 Z W R D b 2 x 1 b W 5 z M S 5 7 Q W N o d H V u Z z o g I F p 1 b S B U Z W l s I G 5 1 c i B F a W 5 6 Z W x t Z W x k d W 5 n Z W 4 g d W 5 k I H p l a X R s a W N o I G J l Z 3 J l b n p 0 Z S B L d X J z Z S 5 c b l x 0 X G 5 c b l x u X H R c d F x u X H R c d F x 0 X H R T b 3 J 0 a W V y Z S B h d W Z z d G V p Z 2 V u Z C B T b 3 J 0 a W V y Z S B h Y n N 0 Z W l n Z W 5 k L D B 9 J n F 1 b 3 Q 7 L C Z x d W 9 0 O 1 N l Y 3 R p b 2 4 x L 0 T D v G 5 n Z W 1 p d H R l b H B y Z W l z Z S A g I C A g I C A g I C A g U H J l a X N l c m 1 p d H R s d W 5 n I G R l c i B M Y W 5 k d 2 l y d H N j a G F m d H N r Y W 1 t Z X I g Z s O 8 c i B k a W U g M T Q v Q X V 0 b 1 J l b W 9 2 Z W R D b 2 x 1 b W 5 z M S 5 7 U H J l a X N l I G p l I G R 0 I C g x M D A g a 2 c p I V x u X H R c b l x u X G 5 c d F x 0 X G 5 c d F x 0 X H R c d F N v c n R p Z X J l I G F 1 Z n N 0 Z W l n Z W 5 k I F N v c n R p Z X J l I G F i c 3 R l a W d l b m Q s M X 0 m c X V v d D s s J n F 1 b 3 Q 7 U 2 V j d G l v b j E v R M O 8 b m d l b W l 0 d G V s c H J l a X N l I C A g I C A g I C A g I C B Q c m V p c 2 V y b W l 0 d G x 1 b m c g Z G V y I E x h b m R 3 a X J 0 c 2 N o Y W Z 0 c 2 t h b W 1 l c i B m w 7 x y I G R p Z S A x N C 9 B d X R v U m V t b 3 Z l Z E N v b H V t b n M x L n t T b 3 J 0 a W V y Z S B h d W Z z d G V p Z 2 V u Z C B T b 3 J 0 a W V y Z S B h Y n N 0 Z W l n Z W 5 k L D J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E J U M z J U J D b m d l b W l 0 d G V s c H J l a X N l J T I w J T I w J T I w J T I w J T I w J T I w J T I w J T I w J T I w J T I w J T I w U H J l a X N l c m 1 p d H R s d W 5 n J T I w Z G V y J T I w T G F u Z H d p c n R z Y 2 h h Z n R z a 2 F t b W V y J T I w Z i V D M y V C Q 3 I l M j B k a W U l M j A x N C 9 R d W V s b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E J U M z J U J D b m d l b W l 0 d G V s c H J l a X N l J T I w J T I w J T I w J T I w J T I w J T I w J T I w J T I w J T I w J T I w J T I w U H J l a X N l c m 1 p d H R s d W 5 n J T I w Z G V y J T I w T G F u Z H d p c n R z Y 2 h h Z n R z a 2 F t b W V y J T I w Z i V D M y V C Q 3 I l M j B k a W U l M j A x N C 9 E Y X R h M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Q l Q z M l Q k N u Z 2 V t a X R 0 Z W x w c m V p c 2 U l M j A l M j A l M j A l M j A l M j A l M j A l M j A l M j A l M j A l M j A l M j B Q c m V p c 2 V y b W l 0 d G x 1 b m c l M j B k Z X I l M j B M Y W 5 k d 2 l y d H N j a G F m d H N r Y W 1 t Z X I l M j B m J U M z J U J D c i U y M G R p Z S U y M D E 0 L 0 d l J U M z J U E 0 b m R l c n R l c i U y M F R 5 c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Q l Q z M l Q k N u Z 2 V t a X R 0 Z W x w c m V p c 2 U l M j A l M j A l M j A l M j A l M j A l M j A l M j A l M j A l M j A l M j A l M j B Q c m V p c 2 V y b W l 0 d G x 1 b m c l M j B k Z X I l M j B M Y W 5 k d 2 l y d H N j a G F m d H N r Y W 1 t Z X I l M j B m J U M z J U J D c i U y M G R p J T I w K D I p P C 9 J d G V t U G F 0 a D 4 8 L 0 l 0 Z W 1 M b 2 N h d G l v b j 4 8 U 3 R h Y m x l R W 5 0 c m l l c z 4 8 R W 5 0 c n k g V H l w Z T 0 i S X N Q c m l 2 Y X R l I i B W Y W x 1 Z T 0 i b D A i I C 8 + P E V u d H J 5 I F R 5 c G U 9 I l F 1 Z X J 5 S U Q i I F Z h b H V l P S J z Z G J i N W R i N D U t O W N j Y i 0 0 Y m R j L T k 4 M z Q t M z B j Z j h i Y T c w O G M 4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O Y W 1 l V X B k Y X R l Z E F m d G V y R m l s b C I g V m F s d W U 9 I m w w I i A v P j x F b n R y e S B U e X B l P S J S Z X N 1 b H R U e X B l I i B W Y W x 1 Z T 0 i c 0 V 4 Y 2 V w d G l v b i I g L z 4 8 R W 5 0 c n k g V H l w Z T 0 i Q n V m Z m V y T m V 4 d F J l Z n J l c 2 g i I F Z h b H V l P S J s M S I g L z 4 8 R W 5 0 c n k g V H l w Z T 0 i R m l s b F R h c m d l d C I g V m F s d W U 9 I n N E w 7 x u Z 2 V t a X R 0 Z W x w c m V p c 2 V f X 1 9 f X 1 9 f X 1 9 f X 1 B y Z W l z Z X J t a X R 0 b H V u Z 1 9 k Z X J f T G F u Z H d p c n R z Y 2 h h Z n R z a 2 F t b W V y X 2 b D v H J f Z G l l X z E 0 N C I g L z 4 8 R W 5 0 c n k g V H l w Z T 0 i R m l s b G V k Q 2 9 t c G x l d G V S Z X N 1 b H R U b 1 d v c m t z a G V l d C I g V m F s d W U 9 I m w x I i A v P j x F b n R y e S B U e X B l P S J M b 2 F k Z W R U b 0 F u Y W x 5 c 2 l z U 2 V y d m l j Z X M i I F Z h b H V l P S J s M C I g L z 4 8 R W 5 0 c n k g V H l w Z T 0 i R m l s b E x h c 3 R V c G R h d G V k I i B W Y W x 1 Z T 0 i Z D I w M j U t M D Q t M j V U M T A 6 M T M 6 N T Y u M j A 1 N j I x N l o i I C 8 + P E V u d H J 5 I F R 5 c G U 9 I k Z p b G x D b 2 x 1 b W 5 U e X B l c y I g V m F s d W U 9 I n N C Z 1 l H I i A v P j x F b n R y e S B U e X B l P S J G a W x s R X J y b 3 J D b 3 V u d C I g V m F s d W U 9 I m w w I i A v P j x F b n R y e S B U e X B l P S J G a W x s Q 2 9 s d W 1 u T m F t Z X M i I F Z h b H V l P S J z W y Z x d W 9 0 O 0 F j a H R 1 b m c 6 I C B a d W 0 g V G V p b C B u d X I g R W l u e m V s b W V s Z H V u Z 2 V u I H V u Z C B 6 Z W l 0 b G l j a C B i Z W d y Z W 5 6 d G U g S 3 V y c 2 U u X G 5 c d F x u X G 5 c b l x 0 X H R c b l x 0 X H R c d F x 0 U 2 9 y d G l l c m U g Y X V m c 3 R l a W d l b m Q g U 2 9 y d G l l c m U g Y W J z d G V p Z 2 V u Z C Z x d W 9 0 O y w m c X V v d D t Q c m V p c 2 U g a m U g Z H Q g K D E w M C B r Z y k h X G 5 c d F x u X G 5 c b l x 0 X H R c b l x 0 X H R c d F x 0 U 2 9 y d G l l c m U g Y X V m c 3 R l a W d l b m Q g U 2 9 y d G l l c m U g Y W J z d G V p Z 2 V u Z C Z x d W 9 0 O y w m c X V v d D t T b 3 J 0 a W V y Z S B h d W Z z d G V p Z 2 V u Z C B T b 3 J 0 a W V y Z S B h Y n N 0 Z W l n Z W 5 k J n F 1 b 3 Q 7 X S I g L z 4 8 R W 5 0 c n k g V H l w Z T 0 i R m l s b F N 0 Y X R 1 c y I g V m F s d W U 9 I n N X Y W l 0 a W 5 n R m 9 y R X h j Z W x S Z W Z y Z X N o I i A v P j x F b n R y e S B U e X B l P S J G a W x s R X J y b 3 J D b 2 R l I i B W Y W x 1 Z T 0 i c 1 V u a 2 5 v d 2 4 i I C 8 + P E V u d H J 5 I F R 5 c G U 9 I k 5 h d m l n Y X R p b 2 5 T d G V w T m F t Z S I g V m F s d W U 9 I n N O Y X Z p Z 2 F 0 a W 9 u I i A v P j x F b n R y e S B U e X B l P S J G a W x s Q 2 9 1 b n Q i I F Z h b H V l P S J s M C I g L z 4 8 R W 5 0 c n k g V H l w Z T 0 i Q W R k Z W R U b 0 R h d G F N b 2 R l b C I g V m F s d W U 9 I m w w I i A v P j x F b n R y e S B U e X B l P S J S Z W x h d G l v b n N o a X B J b m Z v Q 2 9 u d G F p b m V y I i B W Y W x 1 Z T 0 i c 3 s m c X V v d D t j b 2 x 1 b W 5 D b 3 V u d C Z x d W 9 0 O z o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E w 7 x u Z 2 V t a X R 0 Z W x w c m V p c 2 U g I C A g I C A g I C A g I F B y Z W l z Z X J t a X R 0 b H V u Z y B k Z X I g T G F u Z H d p c n R z Y 2 h h Z n R z a 2 F t b W V y I G b D v H I g Z G k g K D I p L 0 F 1 d G 9 S Z W 1 v d m V k Q 2 9 s d W 1 u c z E u e 0 F j a H R 1 b m c 6 I C B a d W 0 g V G V p b C B u d X I g R W l u e m V s b W V s Z H V u Z 2 V u I H V u Z C B 6 Z W l 0 b G l j a C B i Z W d y Z W 5 6 d G U g S 3 V y c 2 U u X G 5 c d F x u X G 5 c b l x 0 X H R c b l x 0 X H R c d F x 0 U 2 9 y d G l l c m U g Y X V m c 3 R l a W d l b m Q g U 2 9 y d G l l c m U g Y W J z d G V p Z 2 V u Z C w w f S Z x d W 9 0 O y w m c X V v d D t T Z W N 0 a W 9 u M S 9 E w 7 x u Z 2 V t a X R 0 Z W x w c m V p c 2 U g I C A g I C A g I C A g I F B y Z W l z Z X J t a X R 0 b H V u Z y B k Z X I g T G F u Z H d p c n R z Y 2 h h Z n R z a 2 F t b W V y I G b D v H I g Z G k g K D I p L 0 F 1 d G 9 S Z W 1 v d m V k Q 2 9 s d W 1 u c z E u e 1 B y Z W l z Z S B q Z S B k d C A o M T A w I G t n K S F c b l x 0 X G 5 c b l x u X H R c d F x u X H R c d F x 0 X H R T b 3 J 0 a W V y Z S B h d W Z z d G V p Z 2 V u Z C B T b 3 J 0 a W V y Z S B h Y n N 0 Z W l n Z W 5 k L D F 9 J n F 1 b 3 Q 7 L C Z x d W 9 0 O 1 N l Y 3 R p b 2 4 x L 0 T D v G 5 n Z W 1 p d H R l b H B y Z W l z Z S A g I C A g I C A g I C A g U H J l a X N l c m 1 p d H R s d W 5 n I G R l c i B M Y W 5 k d 2 l y d H N j a G F m d H N r Y W 1 t Z X I g Z s O 8 c i B k a S A o M i k v Q X V 0 b 1 J l b W 9 2 Z W R D b 2 x 1 b W 5 z M S 5 7 U 2 9 y d G l l c m U g Y X V m c 3 R l a W d l b m Q g U 2 9 y d G l l c m U g Y W J z d G V p Z 2 V u Z C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E w 7 x u Z 2 V t a X R 0 Z W x w c m V p c 2 U g I C A g I C A g I C A g I F B y Z W l z Z X J t a X R 0 b H V u Z y B k Z X I g T G F u Z H d p c n R z Y 2 h h Z n R z a 2 F t b W V y I G b D v H I g Z G k g K D I p L 0 F 1 d G 9 S Z W 1 v d m V k Q 2 9 s d W 1 u c z E u e 0 F j a H R 1 b m c 6 I C B a d W 0 g V G V p b C B u d X I g R W l u e m V s b W V s Z H V u Z 2 V u I H V u Z C B 6 Z W l 0 b G l j a C B i Z W d y Z W 5 6 d G U g S 3 V y c 2 U u X G 5 c d F x u X G 5 c b l x 0 X H R c b l x 0 X H R c d F x 0 U 2 9 y d G l l c m U g Y X V m c 3 R l a W d l b m Q g U 2 9 y d G l l c m U g Y W J z d G V p Z 2 V u Z C w w f S Z x d W 9 0 O y w m c X V v d D t T Z W N 0 a W 9 u M S 9 E w 7 x u Z 2 V t a X R 0 Z W x w c m V p c 2 U g I C A g I C A g I C A g I F B y Z W l z Z X J t a X R 0 b H V u Z y B k Z X I g T G F u Z H d p c n R z Y 2 h h Z n R z a 2 F t b W V y I G b D v H I g Z G k g K D I p L 0 F 1 d G 9 S Z W 1 v d m V k Q 2 9 s d W 1 u c z E u e 1 B y Z W l z Z S B q Z S B k d C A o M T A w I G t n K S F c b l x 0 X G 5 c b l x u X H R c d F x u X H R c d F x 0 X H R T b 3 J 0 a W V y Z S B h d W Z z d G V p Z 2 V u Z C B T b 3 J 0 a W V y Z S B h Y n N 0 Z W l n Z W 5 k L D F 9 J n F 1 b 3 Q 7 L C Z x d W 9 0 O 1 N l Y 3 R p b 2 4 x L 0 T D v G 5 n Z W 1 p d H R l b H B y Z W l z Z S A g I C A g I C A g I C A g U H J l a X N l c m 1 p d H R s d W 5 n I G R l c i B M Y W 5 k d 2 l y d H N j a G F m d H N r Y W 1 t Z X I g Z s O 8 c i B k a S A o M i k v Q X V 0 b 1 J l b W 9 2 Z W R D b 2 x 1 b W 5 z M S 5 7 U 2 9 y d G l l c m U g Y X V m c 3 R l a W d l b m Q g U 2 9 y d G l l c m U g Y W J z d G V p Z 2 V u Z C w y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R C V D M y V C Q 2 5 n Z W 1 p d H R l b H B y Z W l z Z S U y M C U y M C U y M C U y M C U y M C U y M C U y M C U y M C U y M C U y M C U y M F B y Z W l z Z X J t a X R 0 b H V u Z y U y M G R l c i U y M E x h b m R 3 a X J 0 c 2 N o Y W Z 0 c 2 t h b W 1 l c i U y M G Y l Q z M l Q k N y J T I w Z G k l M j A o M i k v U X V l b G x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C V D M y V C Q 2 5 n Z W 1 p d H R l b H B y Z W l z Z S U y M C U y M C U y M C U y M C U y M C U y M C U y M C U y M C U y M C U y M C U y M F B y Z W l z Z X J t a X R 0 b H V u Z y U y M G R l c i U y M E x h b m R 3 a X J 0 c 2 N o Y W Z 0 c 2 t h b W 1 l c i U y M G Y l Q z M l Q k N y J T I w Z G k l M j A o M i k v R G F 0 Y T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E J U M z J U J D b m d l b W l 0 d G V s c H J l a X N l J T I w J T I w J T I w J T I w J T I w J T I w J T I w J T I w J T I w J T I w J T I w U H J l a X N l c m 1 p d H R s d W 5 n J T I w Z G V y J T I w T G F u Z H d p c n R z Y 2 h h Z n R z a 2 F t b W V y J T I w Z i V D M y V C Q 3 I l M j B k a S U y M C g y K S 9 H Z S V D M y V B N G 5 k Z X J 0 Z X I l M j B U e X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E J U M z J U J D b m d l b W l 0 d G V s c H J l a X N l X 1 9 f X 1 9 f X 1 9 f X 1 9 Q c m V p c 2 V y b W l 0 d G x 1 b m d f Z G V y X 0 x h b m R 3 a X J 0 c 2 N o Y W Z 0 c 2 t h b W 1 l c l 9 m J U M z J U J D c l 9 k a W V f M T Q 8 L 0 l 0 Z W 1 Q Y X R o P j w v S X R l b U x v Y 2 F 0 a W 9 u P j x T d G F i b G V F b n R y a W V z P j x F b n R y e S B U e X B l P S J J c 1 B y a X Z h d G U i I F Z h b H V l P S J s M C I g L z 4 8 R W 5 0 c n k g V H l w Z T 0 i U X V l c n l J R C I g V m F s d W U 9 I n M 2 N z E y M T Y 5 N S 0 3 M m M 1 L T Q 1 M T M t Y j Y 5 M i 1 m O G I 0 N W F k N j U 5 Z T E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U t M D Q t M j V U M T A 6 M T M 6 N T Y u N D I 4 N j Y 1 M V o i I C 8 + P E V u d H J 5 I F R 5 c G U 9 I k Z p b G x D b 2 x 1 b W 5 U e X B l c y I g V m F s d W U 9 I n N C Z 1 l H I i A v P j x F b n R y e S B U e X B l P S J G a W x s Q 2 9 s d W 1 u T m F t Z X M i I F Z h b H V l P S J z W y Z x d W 9 0 O 0 F j a H R 1 b m c 6 I C B a d W 0 g V G V p b C B u d X I g R W l u e m V s b W V s Z H V u Z 2 V u I H V u Z C B 6 Z W l 0 b G l j a C B i Z W d y Z W 5 6 d G U g S 3 V y c 2 U u X G 5 c d F x u X G 5 c b l x 0 X H R c b l x 0 X H R c d F x 0 U 2 9 y d G l l c m U g Y X V m c 3 R l a W d l b m Q g U 2 9 y d G l l c m U g Y W J z d G V p Z 2 V u Z C Z x d W 9 0 O y w m c X V v d D t Q c m V p c 2 U g a m U g Z H Q g K D E w M C B r Z y k h X G 5 c d F x u X G 5 c b l x 0 X H R c b l x 0 X H R c d F x 0 U 2 9 y d G l l c m U g Y X V m c 3 R l a W d l b m Q g U 2 9 y d G l l c m U g Y W J z d G V p Z 2 V u Z C Z x d W 9 0 O y w m c X V v d D t T b 3 J 0 a W V y Z S B h d W Z z d G V p Z 2 V u Z C B T b 3 J 0 a W V y Z S B h Y n N 0 Z W l n Z W 5 k J n F 1 b 3 Q 7 X S I g L z 4 8 R W 5 0 c n k g V H l w Z T 0 i R m l s b F N 0 Y X R 1 c y I g V m F s d W U 9 I n N D b 2 1 w b G V 0 Z S I g L z 4 8 R W 5 0 c n k g V H l w Z T 0 i R m l s b E N v d W 5 0 I i B W Y W x 1 Z T 0 i b D E 5 I i A v P j x F b n R y e S B U e X B l P S J B Z G R l Z F R v R G F 0 Y U 1 v Z G V s I i B W Y W x 1 Z T 0 i b D A i I C 8 + P E V u d H J 5 I F R 5 c G U 9 I l J l b G F 0 a W 9 u c 2 h p c E l u Z m 9 D b 2 5 0 Y W l u Z X I i I F Z h b H V l P S J z e y Z x d W 9 0 O 2 N v b H V t b k N v d W 5 0 J n F 1 b 3 Q 7 O j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T D v G 5 n Z W 1 p d H R l b H B y Z W l z Z V 9 f X 1 9 f X 1 9 f X 1 9 f U H J l a X N l c m 1 p d H R s d W 5 n X 2 R l c l 9 M Y W 5 k d 2 l y d H N j a G F m d H N r Y W 1 t Z X J f Z s O 8 c l 9 k a W V f M T Q v Q X V 0 b 1 J l b W 9 2 Z W R D b 2 x 1 b W 5 z M S 5 7 Q W N o d H V u Z z o g I F p 1 b S B U Z W l s I G 5 1 c i B F a W 5 6 Z W x t Z W x k d W 5 n Z W 4 g d W 5 k I H p l a X R s a W N o I G J l Z 3 J l b n p 0 Z S B L d X J z Z S 5 c b l x 0 X G 5 c b l x u X H R c d F x u X H R c d F x 0 X H R T b 3 J 0 a W V y Z S B h d W Z z d G V p Z 2 V u Z C B T b 3 J 0 a W V y Z S B h Y n N 0 Z W l n Z W 5 k L D B 9 J n F 1 b 3 Q 7 L C Z x d W 9 0 O 1 N l Y 3 R p b 2 4 x L 0 T D v G 5 n Z W 1 p d H R l b H B y Z W l z Z V 9 f X 1 9 f X 1 9 f X 1 9 f U H J l a X N l c m 1 p d H R s d W 5 n X 2 R l c l 9 M Y W 5 k d 2 l y d H N j a G F m d H N r Y W 1 t Z X J f Z s O 8 c l 9 k a W V f M T Q v Q X V 0 b 1 J l b W 9 2 Z W R D b 2 x 1 b W 5 z M S 5 7 U H J l a X N l I G p l I G R 0 I C g x M D A g a 2 c p I V x u X H R c b l x u X G 5 c d F x 0 X G 5 c d F x 0 X H R c d F N v c n R p Z X J l I G F 1 Z n N 0 Z W l n Z W 5 k I F N v c n R p Z X J l I G F i c 3 R l a W d l b m Q s M X 0 m c X V v d D s s J n F 1 b 3 Q 7 U 2 V j d G l v b j E v R M O 8 b m d l b W l 0 d G V s c H J l a X N l X 1 9 f X 1 9 f X 1 9 f X 1 9 Q c m V p c 2 V y b W l 0 d G x 1 b m d f Z G V y X 0 x h b m R 3 a X J 0 c 2 N o Y W Z 0 c 2 t h b W 1 l c l 9 m w 7 x y X 2 R p Z V 8 x N C 9 B d X R v U m V t b 3 Z l Z E N v b H V t b n M x L n t T b 3 J 0 a W V y Z S B h d W Z z d G V p Z 2 V u Z C B T b 3 J 0 a W V y Z S B h Y n N 0 Z W l n Z W 5 k L D J 9 J n F 1 b 3 Q 7 X S w m c X V v d D t D b 2 x 1 b W 5 D b 3 V u d C Z x d W 9 0 O z o z L C Z x d W 9 0 O 0 t l e U N v b H V t b k 5 h b W V z J n F 1 b 3 Q 7 O l t d L C Z x d W 9 0 O 0 N v b H V t b k l k Z W 5 0 a X R p Z X M m c X V v d D s 6 W y Z x d W 9 0 O 1 N l Y 3 R p b 2 4 x L 0 T D v G 5 n Z W 1 p d H R l b H B y Z W l z Z V 9 f X 1 9 f X 1 9 f X 1 9 f U H J l a X N l c m 1 p d H R s d W 5 n X 2 R l c l 9 M Y W 5 k d 2 l y d H N j a G F m d H N r Y W 1 t Z X J f Z s O 8 c l 9 k a W V f M T Q v Q X V 0 b 1 J l b W 9 2 Z W R D b 2 x 1 b W 5 z M S 5 7 Q W N o d H V u Z z o g I F p 1 b S B U Z W l s I G 5 1 c i B F a W 5 6 Z W x t Z W x k d W 5 n Z W 4 g d W 5 k I H p l a X R s a W N o I G J l Z 3 J l b n p 0 Z S B L d X J z Z S 5 c b l x 0 X G 5 c b l x u X H R c d F x u X H R c d F x 0 X H R T b 3 J 0 a W V y Z S B h d W Z z d G V p Z 2 V u Z C B T b 3 J 0 a W V y Z S B h Y n N 0 Z W l n Z W 5 k L D B 9 J n F 1 b 3 Q 7 L C Z x d W 9 0 O 1 N l Y 3 R p b 2 4 x L 0 T D v G 5 n Z W 1 p d H R l b H B y Z W l z Z V 9 f X 1 9 f X 1 9 f X 1 9 f U H J l a X N l c m 1 p d H R s d W 5 n X 2 R l c l 9 M Y W 5 k d 2 l y d H N j a G F m d H N r Y W 1 t Z X J f Z s O 8 c l 9 k a W V f M T Q v Q X V 0 b 1 J l b W 9 2 Z W R D b 2 x 1 b W 5 z M S 5 7 U H J l a X N l I G p l I G R 0 I C g x M D A g a 2 c p I V x u X H R c b l x u X G 5 c d F x 0 X G 5 c d F x 0 X H R c d F N v c n R p Z X J l I G F 1 Z n N 0 Z W l n Z W 5 k I F N v c n R p Z X J l I G F i c 3 R l a W d l b m Q s M X 0 m c X V v d D s s J n F 1 b 3 Q 7 U 2 V j d G l v b j E v R M O 8 b m d l b W l 0 d G V s c H J l a X N l X 1 9 f X 1 9 f X 1 9 f X 1 9 Q c m V p c 2 V y b W l 0 d G x 1 b m d f Z G V y X 0 x h b m R 3 a X J 0 c 2 N o Y W Z 0 c 2 t h b W 1 l c l 9 m w 7 x y X 2 R p Z V 8 x N C 9 B d X R v U m V t b 3 Z l Z E N v b H V t b n M x L n t T b 3 J 0 a W V y Z S B h d W Z z d G V p Z 2 V u Z C B T b 3 J 0 a W V y Z S B h Y n N 0 Z W l n Z W 5 k L D J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E J U M z J U J D b m d l b W l 0 d G V s c H J l a X N l X 1 9 f X 1 9 f X 1 9 f X 1 9 Q c m V p c 2 V y b W l 0 d G x 1 b m d f Z G V y X 0 x h b m R 3 a X J 0 c 2 N o Y W Z 0 c 2 t h b W 1 l c l 9 m J U M z J U J D c l 9 k a W V f M T Q v U X V l b G x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C V D M y V C Q 2 5 n Z W 1 p d H R l b H B y Z W l z Z V 9 f X 1 9 f X 1 9 f X 1 9 f U H J l a X N l c m 1 p d H R s d W 5 n X 2 R l c l 9 M Y W 5 k d 2 l y d H N j a G F m d H N r Y W 1 t Z X J f Z i V D M y V C Q 3 J f Z G l l X z E 0 L 0 d l J U M z J U E 0 b m R l c n R l c i U y M F R 5 c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V s b G U l M j A x P C 9 J d G V t U G F 0 a D 4 8 L 0 l 0 Z W 1 M b 2 N h d G l v b j 4 8 U 3 R h Y m x l R W 5 0 c m l l c z 4 8 R W 5 0 c n k g V H l w Z T 0 i U X V l c n l J R C I g V m F s d W U 9 I n M 0 M D g x M W Y x Z C 0 2 O W N k L T R m N W Q t Y T U y N S 1 j M T h h N j c z Y 2 U x Y T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F R h c m d l d C I g V m F s d W U 9 I n N U Y W J l b G x l X z E i I C 8 + P E V u d H J 5 I F R 5 c G U 9 I k Z p b G x l Z E N v b X B s Z X R l U m V z d W x 0 V G 9 X b 3 J r c 2 h l Z X Q i I F Z h b H V l P S J s M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S 0 w N C 0 y N V Q x M D o x N D o w M i 4 3 M j k 2 N z E 4 W i I g L z 4 8 R W 5 0 c n k g V H l w Z T 0 i R m l s b E N v b H V t b l R 5 c G V z I i B W Y W x 1 Z T 0 i c 0 J n W U c i I C 8 + P E V u d H J 5 I F R 5 c G U 9 I k Z p b G x D b 2 x 1 b W 5 O Y W 1 l c y I g V m F s d W U 9 I n N b J n F 1 b 3 Q 7 Q 2 9 s d W 1 u M S Z x d W 9 0 O y w m c X V v d D t D b 2 x 1 b W 4 y J n F 1 b 3 Q 7 L C Z x d W 9 0 O 0 N v b H V t b j M m c X V v d D t d I i A v P j x F b n R y e S B U e X B l P S J G a W x s U 3 R h d H V z I i B W Y W x 1 Z T 0 i c 0 N v b X B s Z X R l I i A v P j x F b n R y e S B U e X B l P S J G a W x s Q 2 9 1 b n Q i I F Z h b H V l P S J s M j E i I C 8 + P E V u d H J 5 I F R 5 c G U 9 I k F k Z G V k V G 9 E Y X R h T W 9 k Z W w i I F Z h b H V l P S J s M C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Z W x s Z S A x L 0 F 1 d G 9 S Z W 1 v d m V k Q 2 9 s d W 1 u c z E u e 0 N v b H V t b j E s M H 0 m c X V v d D s s J n F 1 b 3 Q 7 U 2 V j d G l v b j E v V G F i Z W x s Z S A x L 0 F 1 d G 9 S Z W 1 v d m V k Q 2 9 s d W 1 u c z E u e 0 N v b H V t b j I s M X 0 m c X V v d D s s J n F 1 b 3 Q 7 U 2 V j d G l v b j E v V G F i Z W x s Z S A x L 0 F 1 d G 9 S Z W 1 v d m V k Q 2 9 s d W 1 u c z E u e 0 N v b H V t b j M s M n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V G F i Z W x s Z S A x L 0 F 1 d G 9 S Z W 1 v d m V k Q 2 9 s d W 1 u c z E u e 0 N v b H V t b j E s M H 0 m c X V v d D s s J n F 1 b 3 Q 7 U 2 V j d G l v b j E v V G F i Z W x s Z S A x L 0 F 1 d G 9 S Z W 1 v d m V k Q 2 9 s d W 1 u c z E u e 0 N v b H V t b j I s M X 0 m c X V v d D s s J n F 1 b 3 Q 7 U 2 V j d G l v b j E v V G F i Z W x s Z S A x L 0 F 1 d G 9 S Z W 1 v d m V k Q 2 9 s d W 1 u c z E u e 0 N v b H V t b j M s M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h Y m V s b G U l M j A x L 1 F 1 Z W x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V s b G U l M j A x L 0 F 1 c y U y M E h U T U w t Q 2 9 k Z S U y M G V 4 d H J h a G l l c n R l J T I w V G F i Z W x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V s b G U l M j A x L 0 d l J U M z J U E 0 b m R l c n R l c i U y M F R 5 c D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C Y B A A A B A A A A 0 I y d 3 w E V 0 R G M e g D A T 8 K X 6 w E A A A D P t Y C w Z J d b T o O t 5 e 8 P a H u M A A A A A A I A A A A A A B B m A A A A A Q A A I A A A A F p W e z F z u 9 S l i G x P 8 b j z + z g y j i g y E v L + z 0 5 F E S X q y w 6 y A A A A A A 6 A A A A A A g A A I A A A A N S d j I U d 5 / S s v T y H 3 K M q O e P J 9 A 1 k 1 H 9 u A 6 v Z R Y / D 7 T P B U A A A A A r I l 8 a Y Q U 1 L i 4 s y f R e e J q 7 U R i Q O W X I 4 L Z K Y F c a F / N 7 v / 7 R Q G u 1 C b 2 x m / 5 s j F Y f z j v a 8 m U 3 A s N B 9 H a k H S Z l 9 Z D O + g N D Z 7 L E s t x q I 6 R x G N J D S Q A A A A M J a i l T n b / n q D M U h J N 3 T 4 H j e 5 j X g Y 2 y J v Q z 7 C l o Y P c h W c e K j 5 k G h F B H M c I M k W Q 9 k S / L T Q G r j u I r P L w Z l H f j 6 M Q M = < / D a t a M a s h u p > 
</file>

<file path=customXml/itemProps1.xml><?xml version="1.0" encoding="utf-8"?>
<ds:datastoreItem xmlns:ds="http://schemas.openxmlformats.org/officeDocument/2006/customXml" ds:itemID="{0E321F55-E8D4-4296-A167-5E7DEF0E194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4F3EB30-F92C-4111-A0B0-9D4856AE0DF9}">
  <ds:schemaRefs>
    <ds:schemaRef ds:uri="http://schemas.microsoft.com/office/2006/metadata/properties"/>
    <ds:schemaRef ds:uri="http://schemas.microsoft.com/office/infopath/2007/PartnerControls"/>
    <ds:schemaRef ds:uri="d12856bd-0f77-452f-a5cd-b5365ce751a3"/>
  </ds:schemaRefs>
</ds:datastoreItem>
</file>

<file path=customXml/itemProps3.xml><?xml version="1.0" encoding="utf-8"?>
<ds:datastoreItem xmlns:ds="http://schemas.openxmlformats.org/officeDocument/2006/customXml" ds:itemID="{8793B7A1-C1C3-4DA8-B02C-17D4657F19D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12856bd-0f77-452f-a5cd-b5365ce751a3"/>
    <ds:schemaRef ds:uri="1c6551e3-4bc3-4a7c-81f8-758d47daddf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4021671F-BD8A-46BE-8872-381DF538110C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9</vt:i4>
      </vt:variant>
      <vt:variant>
        <vt:lpstr>Benannte Bereiche</vt:lpstr>
      </vt:variant>
      <vt:variant>
        <vt:i4>11</vt:i4>
      </vt:variant>
    </vt:vector>
  </HeadingPairs>
  <TitlesOfParts>
    <vt:vector size="20" baseType="lpstr">
      <vt:lpstr>Düngemittelpreise</vt:lpstr>
      <vt:lpstr>Preisabruf1</vt:lpstr>
      <vt:lpstr>Preisabruf</vt:lpstr>
      <vt:lpstr>Düngemittel</vt:lpstr>
      <vt:lpstr>Preis frei Pflanze</vt:lpstr>
      <vt:lpstr>NährstofBedarf</vt:lpstr>
      <vt:lpstr>Kosten Technik</vt:lpstr>
      <vt:lpstr>NährstofAbfuhr</vt:lpstr>
      <vt:lpstr>Kalk-Tech</vt:lpstr>
      <vt:lpstr>Düngemittel!Druckbereich</vt:lpstr>
      <vt:lpstr>Düngemittelpreise!Druckbereich</vt:lpstr>
      <vt:lpstr>'Kalk-Tech'!Druckbereich</vt:lpstr>
      <vt:lpstr>'Kosten Technik'!Druckbereich</vt:lpstr>
      <vt:lpstr>NährstofAbfuhr!Druckbereich</vt:lpstr>
      <vt:lpstr>NährstofBedarf!Druckbereich</vt:lpstr>
      <vt:lpstr>'Preis frei Pflanze'!Druckbereich</vt:lpstr>
      <vt:lpstr>Düngemittel!Drucktitel</vt:lpstr>
      <vt:lpstr>Düngemittelpreise!Drucktitel</vt:lpstr>
      <vt:lpstr>NährstofBedarf!Drucktitel</vt:lpstr>
      <vt:lpstr>'Preis frei Pflanze'!Drucktitel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Ulf Deecke</dc:creator>
  <cp:keywords/>
  <dc:description/>
  <cp:lastModifiedBy>Christian Koetter</cp:lastModifiedBy>
  <cp:revision/>
  <dcterms:created xsi:type="dcterms:W3CDTF">1998-11-16T16:40:48Z</dcterms:created>
  <dcterms:modified xsi:type="dcterms:W3CDTF">2025-04-25T10:14:27Z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0x010100E75FB6C96CBE2F46A5358A58DB3E9EDE</vt:lpwstr>
  </property>
  <property fmtid="{D5CDD505-2E9C-101B-9397-08002B2CF9AE}" pid="3" name="MediaServiceImageTags">
    <vt:lpwstr/>
  </property>
</Properties>
</file>